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305" yWindow="-15" windowWidth="7260" windowHeight="9135"/>
  </bookViews>
  <sheets>
    <sheet name="Instructions" sheetId="5" r:id="rId1"/>
    <sheet name="data" sheetId="1" r:id="rId2"/>
    <sheet name="Forecast" sheetId="3" r:id="rId3"/>
    <sheet name="charts" sheetId="9" r:id="rId4"/>
    <sheet name="Sheet1" sheetId="10" state="hidden" r:id="rId5"/>
  </sheets>
  <definedNames>
    <definedName name="_xlnm._FilterDatabase" localSheetId="1" hidden="1">data!$B$1:$C$302</definedName>
  </definedNames>
  <calcPr calcId="145621"/>
</workbook>
</file>

<file path=xl/calcChain.xml><?xml version="1.0" encoding="utf-8"?>
<calcChain xmlns="http://schemas.openxmlformats.org/spreadsheetml/2006/main">
  <c r="J9" i="10" l="1"/>
  <c r="J13" i="10"/>
  <c r="C19" i="10"/>
  <c r="C21" i="10"/>
  <c r="C23" i="10"/>
  <c r="C24" i="10"/>
  <c r="C25" i="10"/>
  <c r="C26" i="10"/>
  <c r="C27" i="10"/>
  <c r="C28" i="10"/>
  <c r="C29" i="10"/>
  <c r="C18" i="10"/>
  <c r="B19" i="10"/>
  <c r="B21" i="10"/>
  <c r="B23" i="10"/>
  <c r="B24" i="10"/>
  <c r="B25" i="10"/>
  <c r="B26" i="10"/>
  <c r="B27" i="10"/>
  <c r="B28" i="10"/>
  <c r="B29" i="10"/>
  <c r="B18" i="10"/>
  <c r="D46" i="1"/>
  <c r="D47" i="1"/>
  <c r="D48" i="1"/>
  <c r="D49" i="1"/>
  <c r="D28" i="10"/>
  <c r="D27" i="10"/>
  <c r="D26" i="10"/>
  <c r="D25" i="10"/>
  <c r="D24" i="10"/>
  <c r="D23" i="10"/>
  <c r="D22" i="10"/>
  <c r="D21" i="10"/>
  <c r="D20" i="10"/>
  <c r="D19" i="10"/>
  <c r="D18" i="10"/>
  <c r="B5" i="10"/>
  <c r="I5" i="10" s="1"/>
  <c r="B6" i="10"/>
  <c r="B7" i="10"/>
  <c r="J7" i="10" s="1"/>
  <c r="B8" i="10"/>
  <c r="B9" i="10"/>
  <c r="I9" i="10" s="1"/>
  <c r="B10" i="10"/>
  <c r="I10" i="10" s="1"/>
  <c r="B11" i="10"/>
  <c r="I11" i="10" s="1"/>
  <c r="B12" i="10"/>
  <c r="I12" i="10" s="1"/>
  <c r="B13" i="10"/>
  <c r="I13" i="10" s="1"/>
  <c r="B14" i="10"/>
  <c r="I14" i="10" s="1"/>
  <c r="B15" i="10"/>
  <c r="I15" i="10" s="1"/>
  <c r="B4" i="10"/>
  <c r="I4" i="10" s="1"/>
  <c r="D17" i="3"/>
  <c r="F17" i="3" s="1"/>
  <c r="C50" i="1"/>
  <c r="G6" i="3"/>
  <c r="H6" i="3" s="1"/>
  <c r="C51" i="1"/>
  <c r="G15" i="3"/>
  <c r="H15" i="3" s="1"/>
  <c r="C52" i="1"/>
  <c r="D55" i="1" s="1"/>
  <c r="C53" i="1"/>
  <c r="C54" i="1"/>
  <c r="E10" i="3"/>
  <c r="F10" i="3" s="1"/>
  <c r="C55" i="1"/>
  <c r="C56" i="1"/>
  <c r="G14" i="3"/>
  <c r="H14" i="3" s="1"/>
  <c r="C57" i="1"/>
  <c r="C58" i="1"/>
  <c r="C59" i="1"/>
  <c r="C60" i="1"/>
  <c r="C61"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13" i="1"/>
  <c r="D7" i="3"/>
  <c r="C5" i="10"/>
  <c r="D8" i="3"/>
  <c r="C6" i="10"/>
  <c r="D9" i="3"/>
  <c r="C7" i="10"/>
  <c r="D10" i="3"/>
  <c r="C8" i="10"/>
  <c r="D11" i="3"/>
  <c r="C9" i="10"/>
  <c r="D12" i="3"/>
  <c r="C10" i="10"/>
  <c r="D13" i="3"/>
  <c r="C11" i="10"/>
  <c r="D14" i="3"/>
  <c r="C12" i="10"/>
  <c r="D15" i="3"/>
  <c r="C13" i="10"/>
  <c r="D16" i="3"/>
  <c r="C14" i="10"/>
  <c r="D6" i="3"/>
  <c r="C4" i="10"/>
  <c r="C15" i="10"/>
  <c r="E15" i="10" s="1"/>
  <c r="E12" i="3"/>
  <c r="F12" i="3" s="1"/>
  <c r="I7" i="10"/>
  <c r="E16" i="3"/>
  <c r="F16" i="3" s="1"/>
  <c r="E15" i="3"/>
  <c r="F15" i="3" s="1"/>
  <c r="G16" i="3"/>
  <c r="H16" i="3" s="1"/>
  <c r="G13" i="3"/>
  <c r="H13" i="3" s="1"/>
  <c r="G12" i="3"/>
  <c r="H12" i="3" s="1"/>
  <c r="E14" i="3"/>
  <c r="F14" i="3" s="1"/>
  <c r="E13" i="3"/>
  <c r="F13" i="3" s="1"/>
  <c r="E9" i="3"/>
  <c r="F9" i="3" s="1"/>
  <c r="G9" i="3"/>
  <c r="H9" i="3" s="1"/>
  <c r="E8" i="3"/>
  <c r="F8" i="3" s="1"/>
  <c r="E11" i="3"/>
  <c r="F11" i="3" s="1"/>
  <c r="G7" i="3"/>
  <c r="H7" i="3" s="1"/>
  <c r="G8" i="3"/>
  <c r="G11" i="3"/>
  <c r="H11" i="3" s="1"/>
  <c r="D51" i="1"/>
  <c r="E7" i="3"/>
  <c r="F7" i="3" s="1"/>
  <c r="D13" i="10"/>
  <c r="E6" i="3"/>
  <c r="F6" i="3" s="1"/>
  <c r="D9" i="10"/>
  <c r="D53" i="1"/>
  <c r="D50" i="1"/>
  <c r="D14" i="10"/>
  <c r="D15" i="10"/>
  <c r="D11" i="10"/>
  <c r="D10" i="10"/>
  <c r="D12" i="10"/>
  <c r="D7" i="10"/>
  <c r="D4" i="10"/>
  <c r="G10" i="3"/>
  <c r="H10" i="3" s="1"/>
  <c r="I8" i="10"/>
  <c r="D57" i="1"/>
  <c r="D56" i="1"/>
  <c r="C22" i="10"/>
  <c r="D8" i="10"/>
  <c r="J8" i="10"/>
  <c r="B22" i="10"/>
  <c r="J4" i="10" l="1"/>
  <c r="J12" i="10"/>
  <c r="J15" i="10"/>
  <c r="J11" i="10"/>
  <c r="J14" i="10"/>
  <c r="J10" i="10"/>
  <c r="F15" i="10"/>
  <c r="D60" i="1"/>
  <c r="D61" i="1"/>
  <c r="J6" i="10"/>
  <c r="D29" i="10"/>
  <c r="I6" i="10"/>
  <c r="G15" i="10" s="1"/>
  <c r="D59" i="1"/>
  <c r="D54" i="1"/>
  <c r="D52" i="1"/>
  <c r="H8" i="3"/>
  <c r="D58" i="1"/>
  <c r="J5" i="10"/>
  <c r="H15" i="10" s="1"/>
  <c r="H17" i="3"/>
  <c r="D5" i="10"/>
  <c r="E29" i="10" l="1"/>
  <c r="B20" i="10"/>
  <c r="C20" i="10"/>
  <c r="D6" i="10"/>
</calcChain>
</file>

<file path=xl/sharedStrings.xml><?xml version="1.0" encoding="utf-8"?>
<sst xmlns="http://schemas.openxmlformats.org/spreadsheetml/2006/main" count="24" uniqueCount="22">
  <si>
    <t>Moving Average Method</t>
  </si>
  <si>
    <t>Linear Trend Method</t>
  </si>
  <si>
    <t>enter current financial year data into white cells</t>
  </si>
  <si>
    <t>Moving Average estimate</t>
  </si>
  <si>
    <t>Linear Trend estimate</t>
  </si>
  <si>
    <t>Monthlyspend</t>
  </si>
  <si>
    <t>YTD spend</t>
  </si>
  <si>
    <t>Rolling spend</t>
  </si>
  <si>
    <t>actual annual growth</t>
  </si>
  <si>
    <t>Moving Average estimated FY growth</t>
  </si>
  <si>
    <t>Linear trend estimated FY growth</t>
  </si>
  <si>
    <t xml:space="preserve">                                                                                                                                                                                                                                                                                                                                                                                                                                                                 </t>
  </si>
  <si>
    <t>Moving Average Estimate</t>
  </si>
  <si>
    <t>Linear Trend Estimate</t>
  </si>
  <si>
    <t>Actual Cost (£)</t>
  </si>
  <si>
    <t>Year to date Cost (£)</t>
  </si>
  <si>
    <t>Monthly Cost (£)</t>
  </si>
  <si>
    <t>Rolling 12 month Cost (£)</t>
  </si>
  <si>
    <t>Forecast for 2020/21 financial year</t>
  </si>
  <si>
    <t>Estimated cost 2020/2021 (£)</t>
  </si>
  <si>
    <t>% increase from 2019/20</t>
  </si>
  <si>
    <t>YTD growth on 2019/20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</si>
</sst>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Red]\-&quot;£&quot;#,##0.00"/>
    <numFmt numFmtId="164" formatCode="0.0"/>
    <numFmt numFmtId="165" formatCode="0.0%"/>
    <numFmt numFmtId="166" formatCode="&quot;£&quot;#,##0.00"/>
    <numFmt numFmtId="167" formatCode="#,##0.0"/>
  </numFmts>
  <fonts count="27" x14ac:knownFonts="1">
    <font>
      <sz val="10"/>
      <name val="Arial"/>
    </font>
    <font>
      <sz val="10"/>
      <name val="Arial"/>
      <family val="2"/>
    </font>
    <font>
      <b/>
      <sz val="10"/>
      <name val="Arial"/>
      <family val="2"/>
    </font>
    <font>
      <sz val="10"/>
      <name val="Arial"/>
      <family val="2"/>
    </font>
    <font>
      <sz val="10"/>
      <color indexed="10"/>
      <name val="Arial"/>
      <family val="2"/>
    </font>
    <font>
      <sz val="11"/>
      <name val="Arial"/>
      <family val="2"/>
    </font>
    <font>
      <b/>
      <sz val="11"/>
      <name val="Arial"/>
      <family val="2"/>
    </font>
    <font>
      <sz val="8"/>
      <name val="Arial"/>
      <family val="2"/>
    </font>
    <font>
      <sz val="9"/>
      <name val="Arial"/>
      <family val="2"/>
    </font>
    <font>
      <sz val="8"/>
      <name val="Arial"/>
      <family val="2"/>
    </font>
    <font>
      <b/>
      <sz val="12"/>
      <name val="Arial"/>
      <family val="2"/>
    </font>
    <font>
      <b/>
      <sz val="10"/>
      <color indexed="9"/>
      <name val="Arial"/>
      <family val="2"/>
    </font>
    <font>
      <sz val="10"/>
      <color indexed="9"/>
      <name val="Arial"/>
      <family val="2"/>
    </font>
    <font>
      <sz val="10"/>
      <name val="Arial Unicode MS"/>
      <family val="2"/>
    </font>
    <font>
      <sz val="10"/>
      <name val="Calibri"/>
      <family val="2"/>
      <scheme val="minor"/>
    </font>
    <font>
      <b/>
      <sz val="14"/>
      <color theme="0"/>
      <name val="Calibri"/>
      <family val="2"/>
      <scheme val="minor"/>
    </font>
    <font>
      <b/>
      <sz val="14"/>
      <color theme="4" tint="-0.249977111117893"/>
      <name val="Calibri"/>
      <family val="2"/>
      <scheme val="minor"/>
    </font>
    <font>
      <b/>
      <sz val="10"/>
      <color indexed="9"/>
      <name val="Calibri"/>
      <family val="2"/>
      <scheme val="minor"/>
    </font>
    <font>
      <b/>
      <sz val="10"/>
      <name val="Calibri"/>
      <family val="2"/>
      <scheme val="minor"/>
    </font>
    <font>
      <sz val="10"/>
      <color theme="0"/>
      <name val="Calibri"/>
      <family val="2"/>
      <scheme val="minor"/>
    </font>
    <font>
      <i/>
      <sz val="9"/>
      <name val="Calibri"/>
      <family val="2"/>
      <scheme val="minor"/>
    </font>
    <font>
      <sz val="10"/>
      <color indexed="10"/>
      <name val="Calibri"/>
      <family val="2"/>
      <scheme val="minor"/>
    </font>
    <font>
      <sz val="10"/>
      <color theme="0" tint="-0.499984740745262"/>
      <name val="Calibri"/>
      <family val="2"/>
      <scheme val="minor"/>
    </font>
    <font>
      <sz val="10"/>
      <color theme="0" tint="-0.499984740745262"/>
      <name val="Arial"/>
      <family val="2"/>
    </font>
    <font>
      <b/>
      <i/>
      <sz val="10"/>
      <color theme="0"/>
      <name val="Arial"/>
      <family val="2"/>
    </font>
    <font>
      <b/>
      <i/>
      <sz val="10"/>
      <color theme="4" tint="-0.249977111117893"/>
      <name val="Calibri"/>
      <family val="2"/>
      <scheme val="minor"/>
    </font>
    <font>
      <i/>
      <sz val="10"/>
      <color theme="4" tint="-0.249977111117893"/>
      <name val="Calibri"/>
      <family val="2"/>
      <scheme val="minor"/>
    </font>
  </fonts>
  <fills count="5">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0" tint="-0.14999847407452621"/>
        <bgColor indexed="64"/>
      </patternFill>
    </fill>
  </fills>
  <borders count="22">
    <border>
      <left/>
      <right/>
      <top/>
      <bottom/>
      <diagonal/>
    </border>
    <border>
      <left style="medium">
        <color theme="4" tint="-0.24994659260841701"/>
      </left>
      <right/>
      <top/>
      <bottom/>
      <diagonal/>
    </border>
    <border>
      <left/>
      <right/>
      <top/>
      <bottom style="medium">
        <color theme="4" tint="-0.24994659260841701"/>
      </bottom>
      <diagonal/>
    </border>
    <border>
      <left/>
      <right/>
      <top style="medium">
        <color theme="4" tint="-0.24994659260841701"/>
      </top>
      <bottom/>
      <diagonal/>
    </border>
    <border>
      <left/>
      <right style="medium">
        <color theme="4" tint="-0.24994659260841701"/>
      </right>
      <top/>
      <bottom/>
      <diagonal/>
    </border>
    <border>
      <left/>
      <right/>
      <top/>
      <bottom style="thin">
        <color theme="0"/>
      </bottom>
      <diagonal/>
    </border>
    <border>
      <left/>
      <right/>
      <top style="thin">
        <color theme="0"/>
      </top>
      <bottom style="thin">
        <color theme="0"/>
      </bottom>
      <diagonal/>
    </border>
    <border>
      <left/>
      <right style="medium">
        <color theme="4" tint="-0.24994659260841701"/>
      </right>
      <top style="thin">
        <color theme="0"/>
      </top>
      <bottom style="thin">
        <color theme="0"/>
      </bottom>
      <diagonal/>
    </border>
    <border>
      <left/>
      <right style="medium">
        <color theme="4" tint="-0.24994659260841701"/>
      </right>
      <top style="thin">
        <color theme="0"/>
      </top>
      <bottom/>
      <diagonal/>
    </border>
    <border>
      <left style="medium">
        <color theme="4" tint="-0.24994659260841701"/>
      </left>
      <right/>
      <top/>
      <bottom style="thin">
        <color theme="0"/>
      </bottom>
      <diagonal/>
    </border>
    <border>
      <left style="medium">
        <color theme="4" tint="-0.24994659260841701"/>
      </left>
      <right/>
      <top style="thin">
        <color theme="0"/>
      </top>
      <bottom style="thin">
        <color theme="0"/>
      </bottom>
      <diagonal/>
    </border>
    <border>
      <left style="medium">
        <color theme="4" tint="-0.24994659260841701"/>
      </left>
      <right/>
      <top style="thin">
        <color theme="0"/>
      </top>
      <bottom/>
      <diagonal/>
    </border>
    <border>
      <left/>
      <right style="medium">
        <color theme="4" tint="-0.24994659260841701"/>
      </right>
      <top/>
      <bottom style="thin">
        <color theme="0"/>
      </bottom>
      <diagonal/>
    </border>
    <border>
      <left/>
      <right style="medium">
        <color theme="4" tint="-0.24994659260841701"/>
      </right>
      <top style="thin">
        <color theme="4" tint="0.39994506668294322"/>
      </top>
      <bottom/>
      <diagonal/>
    </border>
    <border>
      <left/>
      <right style="thin">
        <color theme="0" tint="-0.14996795556505021"/>
      </right>
      <top style="thin">
        <color theme="0"/>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bottom>
      <diagonal/>
    </border>
    <border>
      <left/>
      <right style="thin">
        <color theme="0" tint="-0.14996795556505021"/>
      </right>
      <top style="thin">
        <color theme="0"/>
      </top>
      <bottom style="thin">
        <color theme="0"/>
      </bottom>
      <diagonal/>
    </border>
    <border>
      <left/>
      <right style="thin">
        <color theme="0" tint="-0.14996795556505021"/>
      </right>
      <top style="thin">
        <color theme="0"/>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s>
  <cellStyleXfs count="2">
    <xf numFmtId="0" fontId="0" fillId="0" borderId="0"/>
    <xf numFmtId="9" fontId="1" fillId="0" borderId="0" applyFont="0" applyFill="0" applyBorder="0" applyAlignment="0" applyProtection="0"/>
  </cellStyleXfs>
  <cellXfs count="87">
    <xf numFmtId="0" fontId="0" fillId="0" borderId="0" xfId="0"/>
    <xf numFmtId="0" fontId="3" fillId="0" borderId="0" xfId="0" applyFont="1" applyBorder="1"/>
    <xf numFmtId="0" fontId="5" fillId="0" borderId="0" xfId="0" applyFont="1" applyFill="1" applyBorder="1"/>
    <xf numFmtId="0" fontId="6" fillId="0" borderId="0" xfId="0" applyFont="1" applyFill="1" applyBorder="1"/>
    <xf numFmtId="0" fontId="3" fillId="0" borderId="0" xfId="0" applyFont="1" applyFill="1" applyBorder="1"/>
    <xf numFmtId="0" fontId="8" fillId="0" borderId="0" xfId="0" applyFont="1" applyFill="1" applyBorder="1"/>
    <xf numFmtId="0" fontId="10" fillId="2" borderId="0" xfId="0" applyFont="1" applyFill="1" applyAlignment="1">
      <alignment horizontal="left"/>
    </xf>
    <xf numFmtId="0" fontId="0" fillId="2" borderId="0" xfId="0" applyFill="1"/>
    <xf numFmtId="0" fontId="2" fillId="2" borderId="0" xfId="0" applyFont="1" applyFill="1" applyAlignment="1">
      <alignment horizontal="left"/>
    </xf>
    <xf numFmtId="0" fontId="0" fillId="0" borderId="0" xfId="0" applyBorder="1"/>
    <xf numFmtId="166" fontId="0" fillId="0" borderId="0" xfId="0" applyNumberFormat="1" applyBorder="1"/>
    <xf numFmtId="165" fontId="0" fillId="0" borderId="0" xfId="1" applyNumberFormat="1" applyFont="1" applyBorder="1"/>
    <xf numFmtId="0" fontId="11" fillId="3" borderId="0"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3" fillId="0" borderId="0" xfId="0" applyFont="1" applyAlignment="1">
      <alignment vertical="center"/>
    </xf>
    <xf numFmtId="0" fontId="14" fillId="0" borderId="0" xfId="0" applyFont="1"/>
    <xf numFmtId="17" fontId="14" fillId="0" borderId="0" xfId="0" applyNumberFormat="1" applyFont="1"/>
    <xf numFmtId="166" fontId="14" fillId="0" borderId="0" xfId="0" applyNumberFormat="1" applyFont="1" applyAlignment="1">
      <alignment vertical="center"/>
    </xf>
    <xf numFmtId="166" fontId="14" fillId="4" borderId="0" xfId="0" applyNumberFormat="1" applyFont="1" applyFill="1"/>
    <xf numFmtId="0" fontId="14" fillId="0" borderId="0" xfId="0" applyFont="1" applyFill="1"/>
    <xf numFmtId="10" fontId="0" fillId="0" borderId="0" xfId="1" applyNumberFormat="1" applyFont="1" applyBorder="1"/>
    <xf numFmtId="17" fontId="2" fillId="0" borderId="0" xfId="0" applyNumberFormat="1" applyFont="1" applyFill="1" applyProtection="1">
      <protection hidden="1"/>
    </xf>
    <xf numFmtId="0" fontId="3" fillId="0" borderId="0" xfId="0" applyFont="1" applyProtection="1">
      <protection hidden="1"/>
    </xf>
    <xf numFmtId="0" fontId="3" fillId="0" borderId="0" xfId="0" applyFont="1" applyFill="1" applyProtection="1">
      <protection hidden="1"/>
    </xf>
    <xf numFmtId="0" fontId="4" fillId="0" borderId="0" xfId="0" applyFont="1" applyProtection="1">
      <protection hidden="1"/>
    </xf>
    <xf numFmtId="0" fontId="15" fillId="0" borderId="2" xfId="0" applyFont="1" applyFill="1" applyBorder="1" applyAlignment="1" applyProtection="1">
      <alignment horizontal="left" vertical="center" wrapText="1"/>
      <protection hidden="1"/>
    </xf>
    <xf numFmtId="0" fontId="16" fillId="0" borderId="3" xfId="0" applyFont="1" applyFill="1" applyBorder="1" applyAlignment="1" applyProtection="1">
      <alignment horizontal="left" vertical="center" wrapText="1"/>
      <protection hidden="1"/>
    </xf>
    <xf numFmtId="0" fontId="17" fillId="3" borderId="0" xfId="0" applyFont="1" applyFill="1" applyBorder="1" applyAlignment="1" applyProtection="1">
      <alignment wrapText="1"/>
      <protection hidden="1"/>
    </xf>
    <xf numFmtId="0" fontId="17" fillId="3" borderId="0" xfId="0" applyFont="1" applyFill="1" applyBorder="1" applyAlignment="1" applyProtection="1">
      <alignment horizontal="center" vertical="center" wrapText="1"/>
      <protection hidden="1"/>
    </xf>
    <xf numFmtId="0" fontId="17" fillId="3" borderId="1" xfId="0" applyFont="1" applyFill="1" applyBorder="1" applyAlignment="1" applyProtection="1">
      <alignment horizontal="center" vertical="center" wrapText="1"/>
      <protection hidden="1"/>
    </xf>
    <xf numFmtId="0" fontId="3" fillId="0" borderId="0" xfId="0" applyFont="1" applyAlignment="1" applyProtection="1">
      <alignment wrapText="1"/>
      <protection hidden="1"/>
    </xf>
    <xf numFmtId="17" fontId="17" fillId="3" borderId="0" xfId="0" applyNumberFormat="1" applyFont="1" applyFill="1" applyBorder="1" applyAlignment="1" applyProtection="1">
      <alignment horizontal="left"/>
      <protection hidden="1"/>
    </xf>
    <xf numFmtId="165" fontId="3" fillId="0" borderId="0" xfId="0" applyNumberFormat="1" applyFont="1" applyProtection="1">
      <protection hidden="1"/>
    </xf>
    <xf numFmtId="8" fontId="7" fillId="0" borderId="0" xfId="0" applyNumberFormat="1" applyFont="1" applyProtection="1">
      <protection hidden="1"/>
    </xf>
    <xf numFmtId="0" fontId="18" fillId="3" borderId="0" xfId="0" applyFont="1" applyFill="1" applyBorder="1" applyProtection="1">
      <protection hidden="1"/>
    </xf>
    <xf numFmtId="0" fontId="19" fillId="3" borderId="0" xfId="0" applyFont="1" applyFill="1" applyBorder="1" applyProtection="1">
      <protection hidden="1"/>
    </xf>
    <xf numFmtId="0" fontId="19" fillId="3" borderId="1" xfId="0" applyFont="1" applyFill="1" applyBorder="1" applyProtection="1">
      <protection hidden="1"/>
    </xf>
    <xf numFmtId="0" fontId="19" fillId="3" borderId="4" xfId="0" applyFont="1" applyFill="1" applyBorder="1" applyProtection="1">
      <protection hidden="1"/>
    </xf>
    <xf numFmtId="8" fontId="2" fillId="0" borderId="0" xfId="0" applyNumberFormat="1" applyFont="1" applyProtection="1">
      <protection hidden="1"/>
    </xf>
    <xf numFmtId="0" fontId="20" fillId="0" borderId="2" xfId="0" applyFont="1" applyBorder="1" applyProtection="1">
      <protection hidden="1"/>
    </xf>
    <xf numFmtId="0" fontId="14" fillId="0" borderId="2" xfId="0" applyFont="1" applyBorder="1" applyProtection="1">
      <protection hidden="1"/>
    </xf>
    <xf numFmtId="0" fontId="14" fillId="0" borderId="2" xfId="0" applyFont="1" applyFill="1" applyBorder="1" applyProtection="1">
      <protection hidden="1"/>
    </xf>
    <xf numFmtId="0" fontId="21" fillId="0" borderId="2" xfId="0" applyFont="1" applyBorder="1" applyProtection="1">
      <protection hidden="1"/>
    </xf>
    <xf numFmtId="0" fontId="2" fillId="0" borderId="0" xfId="0" applyFont="1" applyProtection="1">
      <protection hidden="1"/>
    </xf>
    <xf numFmtId="8" fontId="9" fillId="0" borderId="0" xfId="0" applyNumberFormat="1" applyFont="1" applyProtection="1">
      <protection hidden="1"/>
    </xf>
    <xf numFmtId="8" fontId="0" fillId="0" borderId="0" xfId="0" applyNumberFormat="1" applyProtection="1">
      <protection hidden="1"/>
    </xf>
    <xf numFmtId="0" fontId="3" fillId="0" borderId="0" xfId="0" applyFont="1" applyBorder="1" applyProtection="1">
      <protection hidden="1"/>
    </xf>
    <xf numFmtId="0" fontId="3" fillId="0" borderId="0" xfId="0" applyFont="1"/>
    <xf numFmtId="10" fontId="0" fillId="0" borderId="0" xfId="1" applyNumberFormat="1" applyFont="1"/>
    <xf numFmtId="10" fontId="3" fillId="0" borderId="0" xfId="1" applyNumberFormat="1" applyFont="1"/>
    <xf numFmtId="0" fontId="17" fillId="3" borderId="4" xfId="0" applyFont="1" applyFill="1" applyBorder="1" applyAlignment="1" applyProtection="1">
      <alignment horizontal="center" vertical="center" wrapText="1"/>
      <protection hidden="1"/>
    </xf>
    <xf numFmtId="4" fontId="22" fillId="4" borderId="5" xfId="0" applyNumberFormat="1" applyFont="1" applyFill="1" applyBorder="1" applyAlignment="1" applyProtection="1">
      <alignment horizontal="right"/>
      <protection hidden="1"/>
    </xf>
    <xf numFmtId="4" fontId="22" fillId="4" borderId="6" xfId="0" applyNumberFormat="1" applyFont="1" applyFill="1" applyBorder="1" applyAlignment="1" applyProtection="1">
      <alignment horizontal="right"/>
      <protection hidden="1"/>
    </xf>
    <xf numFmtId="4" fontId="22" fillId="4" borderId="7" xfId="0" applyNumberFormat="1" applyFont="1" applyFill="1" applyBorder="1" applyAlignment="1" applyProtection="1">
      <alignment horizontal="right"/>
      <protection hidden="1"/>
    </xf>
    <xf numFmtId="4" fontId="22" fillId="4" borderId="8" xfId="0" applyNumberFormat="1" applyFont="1" applyFill="1" applyBorder="1" applyAlignment="1" applyProtection="1">
      <alignment horizontal="right"/>
      <protection hidden="1"/>
    </xf>
    <xf numFmtId="4" fontId="22" fillId="4" borderId="9" xfId="0" applyNumberFormat="1" applyFont="1" applyFill="1" applyBorder="1" applyAlignment="1" applyProtection="1">
      <alignment horizontal="right"/>
      <protection hidden="1"/>
    </xf>
    <xf numFmtId="4" fontId="22" fillId="4" borderId="10" xfId="0" applyNumberFormat="1" applyFont="1" applyFill="1" applyBorder="1" applyAlignment="1" applyProtection="1">
      <alignment horizontal="right"/>
      <protection hidden="1"/>
    </xf>
    <xf numFmtId="4" fontId="22" fillId="4" borderId="11" xfId="0" applyNumberFormat="1" applyFont="1" applyFill="1" applyBorder="1" applyAlignment="1" applyProtection="1">
      <alignment horizontal="right"/>
      <protection hidden="1"/>
    </xf>
    <xf numFmtId="4" fontId="19" fillId="3" borderId="1" xfId="0" applyNumberFormat="1" applyFont="1" applyFill="1" applyBorder="1" applyAlignment="1" applyProtection="1">
      <alignment horizontal="right"/>
      <protection hidden="1"/>
    </xf>
    <xf numFmtId="164" fontId="18" fillId="4" borderId="5" xfId="1" applyNumberFormat="1" applyFont="1" applyFill="1" applyBorder="1" applyAlignment="1" applyProtection="1">
      <alignment horizontal="right"/>
      <protection hidden="1"/>
    </xf>
    <xf numFmtId="167" fontId="18" fillId="4" borderId="12" xfId="1" applyNumberFormat="1" applyFont="1" applyFill="1" applyBorder="1" applyAlignment="1" applyProtection="1">
      <alignment horizontal="right"/>
      <protection hidden="1"/>
    </xf>
    <xf numFmtId="167" fontId="18" fillId="3" borderId="13" xfId="1" applyNumberFormat="1" applyFont="1" applyFill="1" applyBorder="1" applyAlignment="1" applyProtection="1">
      <alignment horizontal="right"/>
      <protection hidden="1"/>
    </xf>
    <xf numFmtId="164" fontId="18" fillId="4" borderId="0" xfId="1" applyNumberFormat="1" applyFont="1" applyFill="1" applyBorder="1" applyAlignment="1" applyProtection="1">
      <alignment horizontal="right"/>
      <protection hidden="1"/>
    </xf>
    <xf numFmtId="4" fontId="0" fillId="0" borderId="14" xfId="0" applyNumberFormat="1" applyFill="1" applyBorder="1" applyProtection="1">
      <protection locked="0"/>
    </xf>
    <xf numFmtId="4" fontId="0" fillId="0" borderId="15" xfId="0" applyNumberFormat="1" applyFill="1" applyBorder="1" applyProtection="1">
      <protection locked="0"/>
    </xf>
    <xf numFmtId="4" fontId="23" fillId="4" borderId="16" xfId="0" applyNumberFormat="1" applyFont="1" applyFill="1" applyBorder="1"/>
    <xf numFmtId="4" fontId="23" fillId="4" borderId="17" xfId="0" applyNumberFormat="1" applyFont="1" applyFill="1" applyBorder="1"/>
    <xf numFmtId="4" fontId="23" fillId="4" borderId="18" xfId="0" applyNumberFormat="1" applyFont="1" applyFill="1" applyBorder="1"/>
    <xf numFmtId="0" fontId="12" fillId="3" borderId="0" xfId="0" applyFont="1" applyFill="1" applyBorder="1" applyAlignment="1">
      <alignment horizontal="left"/>
    </xf>
    <xf numFmtId="17" fontId="24" fillId="3" borderId="0" xfId="0" applyNumberFormat="1" applyFont="1" applyFill="1" applyBorder="1" applyAlignment="1">
      <alignment horizontal="left"/>
    </xf>
    <xf numFmtId="0" fontId="3" fillId="0" borderId="0" xfId="0" applyFont="1" applyFill="1" applyBorder="1" applyAlignment="1">
      <alignment horizontal="left"/>
    </xf>
    <xf numFmtId="0" fontId="3" fillId="0" borderId="0" xfId="0" applyFont="1" applyBorder="1" applyAlignment="1">
      <alignment horizontal="left"/>
    </xf>
    <xf numFmtId="4" fontId="14" fillId="0" borderId="19" xfId="0" applyNumberFormat="1" applyFont="1" applyFill="1" applyBorder="1" applyAlignment="1" applyProtection="1">
      <alignment horizontal="right"/>
      <protection locked="0" hidden="1"/>
    </xf>
    <xf numFmtId="4" fontId="14" fillId="0" borderId="20" xfId="0" applyNumberFormat="1" applyFont="1" applyFill="1" applyBorder="1" applyAlignment="1" applyProtection="1">
      <alignment horizontal="right"/>
      <protection locked="0" hidden="1"/>
    </xf>
    <xf numFmtId="4" fontId="14" fillId="0" borderId="21" xfId="0" applyNumberFormat="1" applyFont="1" applyFill="1" applyBorder="1" applyAlignment="1" applyProtection="1">
      <alignment horizontal="right"/>
      <protection locked="0" hidden="1"/>
    </xf>
    <xf numFmtId="4" fontId="14" fillId="0" borderId="0" xfId="0" applyNumberFormat="1" applyFont="1"/>
    <xf numFmtId="4" fontId="14" fillId="4" borderId="0" xfId="0" applyNumberFormat="1" applyFont="1" applyFill="1"/>
    <xf numFmtId="4" fontId="14" fillId="0" borderId="0" xfId="0" applyNumberFormat="1" applyFont="1" applyAlignment="1">
      <alignment vertical="center"/>
    </xf>
    <xf numFmtId="164" fontId="14" fillId="0" borderId="0" xfId="1" applyNumberFormat="1" applyFont="1"/>
    <xf numFmtId="164" fontId="14" fillId="0" borderId="0" xfId="1" applyNumberFormat="1" applyFont="1" applyAlignment="1">
      <alignment vertical="center"/>
    </xf>
    <xf numFmtId="2" fontId="0" fillId="0" borderId="0" xfId="1" applyNumberFormat="1" applyFont="1"/>
    <xf numFmtId="164" fontId="0" fillId="0" borderId="0" xfId="0" applyNumberFormat="1"/>
    <xf numFmtId="4" fontId="23" fillId="4" borderId="5" xfId="0" applyNumberFormat="1" applyFont="1" applyFill="1" applyBorder="1"/>
    <xf numFmtId="4" fontId="23" fillId="4" borderId="6" xfId="0" applyNumberFormat="1" applyFont="1" applyFill="1" applyBorder="1"/>
    <xf numFmtId="0" fontId="25" fillId="0" borderId="3" xfId="0" applyFont="1" applyFill="1" applyBorder="1" applyAlignment="1" applyProtection="1">
      <alignment horizontal="center" vertical="center"/>
      <protection hidden="1"/>
    </xf>
    <xf numFmtId="0" fontId="26" fillId="0" borderId="3" xfId="0" applyFont="1" applyFill="1" applyBorder="1" applyAlignment="1" applyProtection="1">
      <alignment horizontal="center" vertical="center"/>
      <protection hidden="1"/>
    </xf>
    <xf numFmtId="0" fontId="15" fillId="2" borderId="0" xfId="0" applyFont="1" applyFill="1" applyBorder="1" applyAlignment="1" applyProtection="1">
      <alignment horizontal="left" vertical="center" wrapText="1"/>
      <protection hidden="1"/>
    </xf>
  </cellXfs>
  <cellStyles count="2">
    <cellStyle name="Normal" xfId="0" builtinId="0"/>
    <cellStyle name="Percent" xfId="1" builtinId="5"/>
  </cellStyles>
  <dxfs count="9">
    <dxf>
      <font>
        <b/>
        <i val="0"/>
        <color rgb="FFFF0000"/>
      </font>
    </dxf>
    <dxf>
      <font>
        <b/>
        <i val="0"/>
        <color theme="9" tint="-0.24994659260841701"/>
      </font>
    </dxf>
    <dxf>
      <font>
        <b/>
        <i val="0"/>
        <color theme="6" tint="-0.24994659260841701"/>
      </font>
    </dxf>
    <dxf>
      <font>
        <b/>
        <i val="0"/>
        <color rgb="FFFF0000"/>
      </font>
    </dxf>
    <dxf>
      <font>
        <b/>
        <i val="0"/>
        <color theme="9" tint="-0.24994659260841701"/>
      </font>
    </dxf>
    <dxf>
      <font>
        <b/>
        <i val="0"/>
        <color theme="6" tint="-0.24994659260841701"/>
      </font>
    </dxf>
    <dxf>
      <font>
        <b/>
        <i val="0"/>
        <color rgb="FFFF0000"/>
      </font>
    </dxf>
    <dxf>
      <font>
        <b/>
        <i val="0"/>
        <color theme="9" tint="-0.24994659260841701"/>
      </font>
    </dxf>
    <dxf>
      <font>
        <b/>
        <i val="0"/>
        <color theme="6"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400" b="1" i="0" u="none" strike="noStrike" baseline="0">
                <a:solidFill>
                  <a:srgbClr val="333399"/>
                </a:solidFill>
                <a:latin typeface="Calibri"/>
                <a:ea typeface="Calibri"/>
                <a:cs typeface="Calibri"/>
              </a:defRPr>
            </a:pPr>
            <a:r>
              <a:rPr lang="en-GB"/>
              <a:t>Expenditure in financial year 2020/21</a:t>
            </a:r>
          </a:p>
        </c:rich>
      </c:tx>
      <c:layout>
        <c:manualLayout>
          <c:xMode val="edge"/>
          <c:yMode val="edge"/>
          <c:x val="2.0150797733197924E-2"/>
          <c:y val="3.9708953047535724E-2"/>
        </c:manualLayout>
      </c:layout>
      <c:overlay val="0"/>
    </c:title>
    <c:autoTitleDeleted val="0"/>
    <c:plotArea>
      <c:layout>
        <c:manualLayout>
          <c:layoutTarget val="inner"/>
          <c:xMode val="edge"/>
          <c:yMode val="edge"/>
          <c:x val="7.9661650333909276E-2"/>
          <c:y val="0.17765872642950883"/>
          <c:w val="0.87963790958291022"/>
          <c:h val="0.71743394575678043"/>
        </c:manualLayout>
      </c:layout>
      <c:barChart>
        <c:barDir val="col"/>
        <c:grouping val="clustered"/>
        <c:varyColors val="0"/>
        <c:ser>
          <c:idx val="0"/>
          <c:order val="0"/>
          <c:tx>
            <c:v>Moving Average</c:v>
          </c:tx>
          <c:invertIfNegative val="0"/>
          <c:cat>
            <c:numRef>
              <c:f>Forecast!$B$6:$B$17</c:f>
              <c:numCache>
                <c:formatCode>mmm\-yy</c:formatCode>
                <c:ptCount val="1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numCache>
            </c:numRef>
          </c:cat>
          <c:val>
            <c:numRef>
              <c:f>Sheet1!$E$4:$E$15</c:f>
              <c:numCache>
                <c:formatCode>#,##0.00</c:formatCode>
                <c:ptCount val="12"/>
                <c:pt idx="11">
                  <c:v>0</c:v>
                </c:pt>
              </c:numCache>
            </c:numRef>
          </c:val>
        </c:ser>
        <c:ser>
          <c:idx val="2"/>
          <c:order val="1"/>
          <c:tx>
            <c:v>Linear trend</c:v>
          </c:tx>
          <c:invertIfNegative val="0"/>
          <c:val>
            <c:numRef>
              <c:f>Sheet1!$F$4:$F$15</c:f>
              <c:numCache>
                <c:formatCode>#,##0.00</c:formatCode>
                <c:ptCount val="12"/>
                <c:pt idx="11">
                  <c:v>0</c:v>
                </c:pt>
              </c:numCache>
            </c:numRef>
          </c:val>
        </c:ser>
        <c:ser>
          <c:idx val="1"/>
          <c:order val="2"/>
          <c:tx>
            <c:v>YTD cost</c:v>
          </c:tx>
          <c:spPr>
            <a:solidFill>
              <a:schemeClr val="accent1">
                <a:lumMod val="50000"/>
              </a:schemeClr>
            </a:solidFill>
          </c:spPr>
          <c:invertIfNegative val="0"/>
          <c:val>
            <c:numRef>
              <c:f>Sheet1!$C$4:$C$15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60"/>
        <c:axId val="135852544"/>
        <c:axId val="135663552"/>
      </c:barChart>
      <c:barChart>
        <c:barDir val="col"/>
        <c:grouping val="clustered"/>
        <c:varyColors val="0"/>
        <c:ser>
          <c:idx val="3"/>
          <c:order val="3"/>
          <c:tx>
            <c:v>Annual cost</c:v>
          </c:tx>
          <c:spPr>
            <a:solidFill>
              <a:schemeClr val="tx2">
                <a:lumMod val="20000"/>
                <a:lumOff val="80000"/>
                <a:alpha val="24000"/>
              </a:schemeClr>
            </a:solidFill>
          </c:spPr>
          <c:invertIfNegative val="0"/>
          <c:val>
            <c:numRef>
              <c:f>Sheet1!$D$4:$D$15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21"/>
        <c:overlap val="100"/>
        <c:axId val="135962624"/>
        <c:axId val="135664128"/>
      </c:barChart>
      <c:dateAx>
        <c:axId val="135852544"/>
        <c:scaling>
          <c:orientation val="minMax"/>
        </c:scaling>
        <c:delete val="0"/>
        <c:axPos val="b"/>
        <c:numFmt formatCode="mmm\-yy" sourceLinked="0"/>
        <c:majorTickMark val="cross"/>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135663552"/>
        <c:crosses val="autoZero"/>
        <c:auto val="1"/>
        <c:lblOffset val="100"/>
        <c:baseTimeUnit val="months"/>
        <c:majorUnit val="1"/>
        <c:majorTimeUnit val="months"/>
        <c:minorUnit val="1"/>
        <c:minorTimeUnit val="months"/>
      </c:dateAx>
      <c:valAx>
        <c:axId val="135663552"/>
        <c:scaling>
          <c:orientation val="minMax"/>
          <c:max val="80000000"/>
          <c:min val="0"/>
        </c:scaling>
        <c:delete val="0"/>
        <c:axPos val="l"/>
        <c:majorGridlines>
          <c:spPr>
            <a:ln>
              <a:solidFill>
                <a:schemeClr val="bg1">
                  <a:lumMod val="85000"/>
                </a:schemeClr>
              </a:solidFill>
            </a:ln>
          </c:spPr>
        </c:majorGridlines>
        <c:title>
          <c:tx>
            <c:rich>
              <a:bodyPr/>
              <a:lstStyle/>
              <a:p>
                <a:pPr>
                  <a:defRPr sz="1000" b="1" i="0" u="none" strike="noStrike" baseline="0">
                    <a:solidFill>
                      <a:srgbClr val="333399"/>
                    </a:solidFill>
                    <a:latin typeface="Calibri"/>
                    <a:ea typeface="Calibri"/>
                    <a:cs typeface="Calibri"/>
                  </a:defRPr>
                </a:pPr>
                <a:r>
                  <a:rPr lang="en-GB"/>
                  <a:t>Cost (£)</a:t>
                </a:r>
              </a:p>
            </c:rich>
          </c:tx>
          <c:layout/>
          <c:overlay val="0"/>
        </c:title>
        <c:numFmt formatCode="#,##0" sourceLinked="0"/>
        <c:majorTickMark val="out"/>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135852544"/>
        <c:crosses val="autoZero"/>
        <c:crossBetween val="between"/>
        <c:majorUnit val="10000000"/>
        <c:minorUnit val="1000000"/>
        <c:dispUnits>
          <c:builtInUnit val="millions"/>
        </c:dispUnits>
      </c:valAx>
      <c:catAx>
        <c:axId val="135962624"/>
        <c:scaling>
          <c:orientation val="minMax"/>
        </c:scaling>
        <c:delete val="1"/>
        <c:axPos val="b"/>
        <c:majorTickMark val="out"/>
        <c:minorTickMark val="none"/>
        <c:tickLblPos val="nextTo"/>
        <c:crossAx val="135664128"/>
        <c:crosses val="autoZero"/>
        <c:auto val="1"/>
        <c:lblAlgn val="ctr"/>
        <c:lblOffset val="100"/>
        <c:noMultiLvlLbl val="0"/>
      </c:catAx>
      <c:valAx>
        <c:axId val="135664128"/>
        <c:scaling>
          <c:orientation val="minMax"/>
          <c:max val="80000000"/>
        </c:scaling>
        <c:delete val="0"/>
        <c:axPos val="r"/>
        <c:numFmt formatCode="#,##0.00" sourceLinked="1"/>
        <c:majorTickMark val="out"/>
        <c:minorTickMark val="none"/>
        <c:tickLblPos val="none"/>
        <c:crossAx val="135962624"/>
        <c:crosses val="max"/>
        <c:crossBetween val="between"/>
        <c:majorUnit val="10000000"/>
      </c:valAx>
    </c:plotArea>
    <c:legend>
      <c:legendPos val="t"/>
      <c:layout>
        <c:manualLayout>
          <c:xMode val="edge"/>
          <c:yMode val="edge"/>
          <c:x val="0.73928382067819409"/>
          <c:y val="1.1444444444444445E-2"/>
          <c:w val="0.26071617932180591"/>
          <c:h val="0.16173082531350247"/>
        </c:manualLayout>
      </c:layout>
      <c:overlay val="0"/>
      <c:txPr>
        <a:bodyPr/>
        <a:lstStyle/>
        <a:p>
          <a:pPr>
            <a:defRPr sz="735" b="0" i="0" u="none" strike="noStrike" baseline="0">
              <a:solidFill>
                <a:srgbClr val="333399"/>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oddHeader>&amp;A</c:oddHeader>
      <c:oddFooter>Page &amp;P</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400" b="1" i="0" u="none" strike="noStrike" baseline="0">
                <a:solidFill>
                  <a:srgbClr val="333399"/>
                </a:solidFill>
                <a:latin typeface="Calibri"/>
                <a:ea typeface="Calibri"/>
                <a:cs typeface="Calibri"/>
              </a:defRPr>
            </a:pPr>
            <a:r>
              <a:rPr lang="en-GB"/>
              <a:t>Growth in financial year 2020/21</a:t>
            </a:r>
          </a:p>
        </c:rich>
      </c:tx>
      <c:layout>
        <c:manualLayout>
          <c:xMode val="edge"/>
          <c:yMode val="edge"/>
          <c:x val="2.0150797733197924E-2"/>
          <c:y val="3.9708953047535724E-2"/>
        </c:manualLayout>
      </c:layout>
      <c:overlay val="0"/>
    </c:title>
    <c:autoTitleDeleted val="0"/>
    <c:plotArea>
      <c:layout>
        <c:manualLayout>
          <c:layoutTarget val="inner"/>
          <c:xMode val="edge"/>
          <c:yMode val="edge"/>
          <c:x val="7.9661650333909276E-2"/>
          <c:y val="0.17765872642950883"/>
          <c:w val="0.87963790958291022"/>
          <c:h val="0.71743394575678043"/>
        </c:manualLayout>
      </c:layout>
      <c:barChart>
        <c:barDir val="col"/>
        <c:grouping val="clustered"/>
        <c:varyColors val="0"/>
        <c:ser>
          <c:idx val="0"/>
          <c:order val="0"/>
          <c:tx>
            <c:v>Moving Average</c:v>
          </c:tx>
          <c:invertIfNegative val="0"/>
          <c:cat>
            <c:numRef>
              <c:f>Forecast!$B$6:$B$17</c:f>
              <c:numCache>
                <c:formatCode>mmm\-yy</c:formatCode>
                <c:ptCount val="1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numCache>
            </c:numRef>
          </c:cat>
          <c:val>
            <c:numRef>
              <c:f>Sheet1!$D$18:$D$29</c:f>
              <c:numCache>
                <c:formatCode>"£"#,##0.00</c:formatCode>
                <c:ptCount val="12"/>
                <c:pt idx="0">
                  <c:v>0</c:v>
                </c:pt>
                <c:pt idx="1">
                  <c:v>0</c:v>
                </c:pt>
                <c:pt idx="2">
                  <c:v>0</c:v>
                </c:pt>
                <c:pt idx="3">
                  <c:v>0</c:v>
                </c:pt>
                <c:pt idx="4">
                  <c:v>0</c:v>
                </c:pt>
                <c:pt idx="5">
                  <c:v>0</c:v>
                </c:pt>
                <c:pt idx="6">
                  <c:v>0</c:v>
                </c:pt>
                <c:pt idx="7">
                  <c:v>0</c:v>
                </c:pt>
                <c:pt idx="8">
                  <c:v>0</c:v>
                </c:pt>
                <c:pt idx="9">
                  <c:v>0</c:v>
                </c:pt>
                <c:pt idx="10">
                  <c:v>0</c:v>
                </c:pt>
                <c:pt idx="11" formatCode="0.0">
                  <c:v>0</c:v>
                </c:pt>
              </c:numCache>
            </c:numRef>
          </c:val>
        </c:ser>
        <c:ser>
          <c:idx val="2"/>
          <c:order val="1"/>
          <c:tx>
            <c:v>Linear trend</c:v>
          </c:tx>
          <c:invertIfNegative val="0"/>
          <c:val>
            <c:numRef>
              <c:f>Sheet1!$E$18:$E$29</c:f>
              <c:numCache>
                <c:formatCode>"£"#,##0.00</c:formatCode>
                <c:ptCount val="12"/>
                <c:pt idx="11" formatCode="0.0">
                  <c:v>0</c:v>
                </c:pt>
              </c:numCache>
            </c:numRef>
          </c:val>
        </c:ser>
        <c:ser>
          <c:idx val="1"/>
          <c:order val="2"/>
          <c:tx>
            <c:v>Annual growth</c:v>
          </c:tx>
          <c:spPr>
            <a:solidFill>
              <a:schemeClr val="tx2">
                <a:lumMod val="20000"/>
                <a:lumOff val="80000"/>
                <a:alpha val="24000"/>
              </a:schemeClr>
            </a:solidFill>
          </c:spPr>
          <c:invertIfNegative val="0"/>
          <c:dPt>
            <c:idx val="11"/>
            <c:invertIfNegative val="0"/>
            <c:bubble3D val="0"/>
            <c:spPr>
              <a:solidFill>
                <a:schemeClr val="accent1">
                  <a:lumMod val="75000"/>
                </a:schemeClr>
              </a:solidFill>
            </c:spPr>
          </c:dPt>
          <c:val>
            <c:numRef>
              <c:f>Sheet1!$B$18:$B$29</c:f>
              <c:numCache>
                <c:formatCode>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60"/>
        <c:axId val="135964160"/>
        <c:axId val="135665856"/>
      </c:barChart>
      <c:dateAx>
        <c:axId val="135964160"/>
        <c:scaling>
          <c:orientation val="minMax"/>
        </c:scaling>
        <c:delete val="0"/>
        <c:axPos val="b"/>
        <c:numFmt formatCode="mmm\-yy" sourceLinked="0"/>
        <c:majorTickMark val="cross"/>
        <c:minorTickMark val="none"/>
        <c:tickLblPos val="low"/>
        <c:txPr>
          <a:bodyPr rot="0" vert="horz"/>
          <a:lstStyle/>
          <a:p>
            <a:pPr>
              <a:defRPr sz="1000" b="0" i="0" u="none" strike="noStrike" baseline="0">
                <a:solidFill>
                  <a:srgbClr val="333399"/>
                </a:solidFill>
                <a:latin typeface="Calibri"/>
                <a:ea typeface="Calibri"/>
                <a:cs typeface="Calibri"/>
              </a:defRPr>
            </a:pPr>
            <a:endParaRPr lang="en-US"/>
          </a:p>
        </c:txPr>
        <c:crossAx val="135665856"/>
        <c:crosses val="autoZero"/>
        <c:auto val="1"/>
        <c:lblOffset val="100"/>
        <c:baseTimeUnit val="months"/>
        <c:majorUnit val="1"/>
        <c:majorTimeUnit val="months"/>
        <c:minorUnit val="1"/>
        <c:minorTimeUnit val="months"/>
      </c:dateAx>
      <c:valAx>
        <c:axId val="135665856"/>
        <c:scaling>
          <c:orientation val="minMax"/>
          <c:max val="5"/>
          <c:min val="-5"/>
        </c:scaling>
        <c:delete val="0"/>
        <c:axPos val="l"/>
        <c:majorGridlines>
          <c:spPr>
            <a:ln>
              <a:solidFill>
                <a:schemeClr val="bg1">
                  <a:lumMod val="85000"/>
                </a:schemeClr>
              </a:solidFill>
            </a:ln>
          </c:spPr>
        </c:majorGridlines>
        <c:title>
          <c:tx>
            <c:rich>
              <a:bodyPr/>
              <a:lstStyle/>
              <a:p>
                <a:pPr>
                  <a:defRPr sz="1000" b="1" i="0" u="none" strike="noStrike" baseline="0">
                    <a:solidFill>
                      <a:srgbClr val="333399"/>
                    </a:solidFill>
                    <a:latin typeface="Calibri"/>
                    <a:ea typeface="Calibri"/>
                    <a:cs typeface="Calibri"/>
                  </a:defRPr>
                </a:pPr>
                <a:r>
                  <a:rPr lang="en-GB"/>
                  <a:t>Growth (%)</a:t>
                </a:r>
              </a:p>
            </c:rich>
          </c:tx>
          <c:layout/>
          <c:overlay val="0"/>
        </c:title>
        <c:numFmt formatCode="#,##0" sourceLinked="0"/>
        <c:majorTickMark val="cross"/>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135964160"/>
        <c:crosses val="autoZero"/>
        <c:crossBetween val="between"/>
        <c:majorUnit val="1"/>
        <c:minorUnit val="0.02"/>
      </c:valAx>
    </c:plotArea>
    <c:legend>
      <c:legendPos val="t"/>
      <c:layout>
        <c:manualLayout>
          <c:xMode val="edge"/>
          <c:yMode val="edge"/>
          <c:x val="0.79288516071169501"/>
          <c:y val="2.9962962962962962E-2"/>
          <c:w val="0.18028216322205959"/>
          <c:h val="0.14104782735491395"/>
        </c:manualLayout>
      </c:layout>
      <c:overlay val="0"/>
      <c:txPr>
        <a:bodyPr/>
        <a:lstStyle/>
        <a:p>
          <a:pPr>
            <a:defRPr sz="735" b="0" i="0" u="none" strike="noStrike" baseline="0">
              <a:solidFill>
                <a:srgbClr val="333399"/>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oddHeader>&amp;A</c:oddHeader>
      <c:oddFooter>Page &amp;P</c:oddFooter>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400" b="1" i="0" u="none" strike="noStrike" baseline="0">
                <a:solidFill>
                  <a:srgbClr val="333399"/>
                </a:solidFill>
                <a:latin typeface="Calibri"/>
                <a:ea typeface="Calibri"/>
                <a:cs typeface="Calibri"/>
              </a:defRPr>
            </a:pPr>
            <a:r>
              <a:rPr lang="en-GB"/>
              <a:t>Monthly cost in financial year 2020/21</a:t>
            </a:r>
          </a:p>
        </c:rich>
      </c:tx>
      <c:layout>
        <c:manualLayout>
          <c:xMode val="edge"/>
          <c:yMode val="edge"/>
          <c:x val="2.0150797733197924E-2"/>
          <c:y val="3.9708953047535724E-2"/>
        </c:manualLayout>
      </c:layout>
      <c:overlay val="0"/>
    </c:title>
    <c:autoTitleDeleted val="0"/>
    <c:plotArea>
      <c:layout>
        <c:manualLayout>
          <c:layoutTarget val="inner"/>
          <c:xMode val="edge"/>
          <c:yMode val="edge"/>
          <c:x val="8.6361817838096877E-2"/>
          <c:y val="0.17765872642950883"/>
          <c:w val="0.87293774207872255"/>
          <c:h val="0.71743394575678043"/>
        </c:manualLayout>
      </c:layout>
      <c:barChart>
        <c:barDir val="col"/>
        <c:grouping val="clustered"/>
        <c:varyColors val="0"/>
        <c:ser>
          <c:idx val="1"/>
          <c:order val="0"/>
          <c:tx>
            <c:v>Monthly spend</c:v>
          </c:tx>
          <c:spPr>
            <a:solidFill>
              <a:schemeClr val="accent1">
                <a:lumMod val="75000"/>
              </a:schemeClr>
            </a:solidFill>
          </c:spPr>
          <c:invertIfNegative val="0"/>
          <c:cat>
            <c:numRef>
              <c:f>Sheet1!$A$4:$A$15</c:f>
              <c:numCache>
                <c:formatCode>mmm\-yy</c:formatCode>
                <c:ptCount val="12"/>
                <c:pt idx="0">
                  <c:v>43922</c:v>
                </c:pt>
                <c:pt idx="1">
                  <c:v>43952</c:v>
                </c:pt>
                <c:pt idx="2">
                  <c:v>43983</c:v>
                </c:pt>
                <c:pt idx="3">
                  <c:v>44013</c:v>
                </c:pt>
                <c:pt idx="4">
                  <c:v>44044</c:v>
                </c:pt>
                <c:pt idx="5">
                  <c:v>44075</c:v>
                </c:pt>
                <c:pt idx="6">
                  <c:v>44105</c:v>
                </c:pt>
                <c:pt idx="7">
                  <c:v>44136</c:v>
                </c:pt>
                <c:pt idx="8">
                  <c:v>44166</c:v>
                </c:pt>
                <c:pt idx="9">
                  <c:v>44197</c:v>
                </c:pt>
                <c:pt idx="10">
                  <c:v>44228</c:v>
                </c:pt>
                <c:pt idx="11">
                  <c:v>44256</c:v>
                </c:pt>
              </c:numCache>
            </c:numRef>
          </c:cat>
          <c:val>
            <c:numRef>
              <c:f>Sheet1!$B$4:$B$15</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60"/>
        <c:axId val="135964672"/>
        <c:axId val="137396224"/>
      </c:barChart>
      <c:dateAx>
        <c:axId val="135964672"/>
        <c:scaling>
          <c:orientation val="minMax"/>
        </c:scaling>
        <c:delete val="0"/>
        <c:axPos val="b"/>
        <c:numFmt formatCode="mmm\-yy" sourceLinked="0"/>
        <c:majorTickMark val="cross"/>
        <c:minorTickMark val="none"/>
        <c:tickLblPos val="low"/>
        <c:txPr>
          <a:bodyPr rot="0" vert="horz"/>
          <a:lstStyle/>
          <a:p>
            <a:pPr>
              <a:defRPr sz="1000" b="0" i="0" u="none" strike="noStrike" baseline="0">
                <a:solidFill>
                  <a:srgbClr val="333399"/>
                </a:solidFill>
                <a:latin typeface="Calibri"/>
                <a:ea typeface="Calibri"/>
                <a:cs typeface="Calibri"/>
              </a:defRPr>
            </a:pPr>
            <a:endParaRPr lang="en-US"/>
          </a:p>
        </c:txPr>
        <c:crossAx val="137396224"/>
        <c:crosses val="autoZero"/>
        <c:auto val="1"/>
        <c:lblOffset val="100"/>
        <c:baseTimeUnit val="months"/>
        <c:majorUnit val="1"/>
        <c:majorTimeUnit val="months"/>
        <c:minorUnit val="1"/>
        <c:minorTimeUnit val="months"/>
      </c:dateAx>
      <c:valAx>
        <c:axId val="137396224"/>
        <c:scaling>
          <c:orientation val="minMax"/>
          <c:max val="8000000"/>
          <c:min val="0"/>
        </c:scaling>
        <c:delete val="0"/>
        <c:axPos val="l"/>
        <c:majorGridlines>
          <c:spPr>
            <a:ln>
              <a:solidFill>
                <a:schemeClr val="bg1">
                  <a:lumMod val="85000"/>
                </a:schemeClr>
              </a:solidFill>
            </a:ln>
          </c:spPr>
        </c:majorGridlines>
        <c:title>
          <c:tx>
            <c:rich>
              <a:bodyPr/>
              <a:lstStyle/>
              <a:p>
                <a:pPr>
                  <a:defRPr sz="1000" b="1" i="0" u="none" strike="noStrike" baseline="0">
                    <a:solidFill>
                      <a:srgbClr val="333399"/>
                    </a:solidFill>
                    <a:latin typeface="Calibri"/>
                    <a:ea typeface="Calibri"/>
                    <a:cs typeface="Calibri"/>
                  </a:defRPr>
                </a:pPr>
                <a:r>
                  <a:rPr lang="en-GB"/>
                  <a:t>Cost (£ millions)</a:t>
                </a:r>
              </a:p>
            </c:rich>
          </c:tx>
          <c:layout/>
          <c:overlay val="0"/>
        </c:title>
        <c:numFmt formatCode="#,##0" sourceLinked="0"/>
        <c:majorTickMark val="cross"/>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135964672"/>
        <c:crosses val="autoZero"/>
        <c:crossBetween val="between"/>
        <c:majorUnit val="1000000"/>
        <c:minorUnit val="16000"/>
        <c:dispUnits>
          <c:builtInUnit val="millions"/>
        </c:dispUnits>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oddHeader>&amp;A</c:oddHeader>
      <c:oddFooter>Page &amp;P</c:oddFooter>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27"/>
    </mc:Choice>
    <mc:Fallback>
      <c:style val="27"/>
    </mc:Fallback>
  </mc:AlternateContent>
  <c:chart>
    <c:title>
      <c:tx>
        <c:rich>
          <a:bodyPr/>
          <a:lstStyle/>
          <a:p>
            <a:pPr>
              <a:defRPr sz="1400" b="1" i="0" u="none" strike="noStrike" baseline="0">
                <a:solidFill>
                  <a:srgbClr val="333399"/>
                </a:solidFill>
                <a:latin typeface="Calibri"/>
                <a:ea typeface="Calibri"/>
                <a:cs typeface="Calibri"/>
              </a:defRPr>
            </a:pPr>
            <a:r>
              <a:rPr lang="en-GB"/>
              <a:t>Proportion spent of estimated drug cost 2020/21</a:t>
            </a:r>
          </a:p>
        </c:rich>
      </c:tx>
      <c:layout>
        <c:manualLayout>
          <c:xMode val="edge"/>
          <c:yMode val="edge"/>
          <c:x val="2.0150797733197924E-2"/>
          <c:y val="3.9708953047535724E-2"/>
        </c:manualLayout>
      </c:layout>
      <c:overlay val="0"/>
    </c:title>
    <c:autoTitleDeleted val="0"/>
    <c:plotArea>
      <c:layout>
        <c:manualLayout>
          <c:layoutTarget val="inner"/>
          <c:xMode val="edge"/>
          <c:yMode val="edge"/>
          <c:x val="0.10646237691626126"/>
          <c:y val="0.17765872642950883"/>
          <c:w val="0.85283715331761878"/>
          <c:h val="0.69891542723826183"/>
        </c:manualLayout>
      </c:layout>
      <c:barChart>
        <c:barDir val="bar"/>
        <c:grouping val="clustered"/>
        <c:varyColors val="0"/>
        <c:ser>
          <c:idx val="2"/>
          <c:order val="0"/>
          <c:tx>
            <c:v>annual estimate</c:v>
          </c:tx>
          <c:invertIfNegative val="0"/>
          <c:dPt>
            <c:idx val="0"/>
            <c:invertIfNegative val="0"/>
            <c:bubble3D val="0"/>
            <c:spPr>
              <a:solidFill>
                <a:schemeClr val="tx2">
                  <a:lumMod val="20000"/>
                  <a:lumOff val="80000"/>
                  <a:alpha val="50000"/>
                </a:schemeClr>
              </a:solidFill>
            </c:spPr>
          </c:dPt>
          <c:dPt>
            <c:idx val="1"/>
            <c:invertIfNegative val="0"/>
            <c:bubble3D val="0"/>
            <c:spPr>
              <a:solidFill>
                <a:schemeClr val="tx2">
                  <a:lumMod val="20000"/>
                  <a:lumOff val="80000"/>
                  <a:alpha val="50000"/>
                </a:schemeClr>
              </a:solidFill>
            </c:spPr>
          </c:dPt>
          <c:cat>
            <c:strRef>
              <c:f>Sheet1!$G$14:$H$14</c:f>
              <c:strCache>
                <c:ptCount val="2"/>
                <c:pt idx="0">
                  <c:v>Moving Average Estimate</c:v>
                </c:pt>
                <c:pt idx="1">
                  <c:v>Linear Trend Estimate</c:v>
                </c:pt>
              </c:strCache>
            </c:strRef>
          </c:cat>
          <c:val>
            <c:numRef>
              <c:f>Sheet1!$G$16:$H$16</c:f>
              <c:numCache>
                <c:formatCode>0.0</c:formatCode>
                <c:ptCount val="2"/>
                <c:pt idx="0">
                  <c:v>100</c:v>
                </c:pt>
                <c:pt idx="1">
                  <c:v>100</c:v>
                </c:pt>
              </c:numCache>
            </c:numRef>
          </c:val>
        </c:ser>
        <c:ser>
          <c:idx val="0"/>
          <c:order val="1"/>
          <c:tx>
            <c:v>YTD cost</c:v>
          </c:tx>
          <c:spPr>
            <a:solidFill>
              <a:schemeClr val="accent1">
                <a:lumMod val="75000"/>
              </a:schemeClr>
            </a:solidFill>
          </c:spPr>
          <c:invertIfNegative val="0"/>
          <c:dLbls>
            <c:txPr>
              <a:bodyPr/>
              <a:lstStyle/>
              <a:p>
                <a:pPr>
                  <a:defRPr sz="2000" b="1" i="0" u="none" strike="noStrike" baseline="0">
                    <a:solidFill>
                      <a:srgbClr val="FFFFFF"/>
                    </a:solidFill>
                    <a:latin typeface="Calibri"/>
                    <a:ea typeface="Calibri"/>
                    <a:cs typeface="Calibri"/>
                  </a:defRPr>
                </a:pPr>
                <a:endParaRPr lang="en-US"/>
              </a:p>
            </c:txPr>
            <c:dLblPos val="inEnd"/>
            <c:showLegendKey val="0"/>
            <c:showVal val="1"/>
            <c:showCatName val="0"/>
            <c:showSerName val="0"/>
            <c:showPercent val="0"/>
            <c:showBubbleSize val="0"/>
            <c:showLeaderLines val="0"/>
          </c:dLbls>
          <c:cat>
            <c:strRef>
              <c:f>Sheet1!$G$14:$H$14</c:f>
              <c:strCache>
                <c:ptCount val="2"/>
                <c:pt idx="0">
                  <c:v>Moving Average Estimate</c:v>
                </c:pt>
                <c:pt idx="1">
                  <c:v>Linear Trend Estimate</c:v>
                </c:pt>
              </c:strCache>
            </c:strRef>
          </c:cat>
          <c:val>
            <c:numRef>
              <c:f>Sheet1!$G$15:$H$15</c:f>
              <c:numCache>
                <c:formatCode>0.0</c:formatCode>
                <c:ptCount val="2"/>
                <c:pt idx="0">
                  <c:v>0</c:v>
                </c:pt>
                <c:pt idx="1">
                  <c:v>0</c:v>
                </c:pt>
              </c:numCache>
            </c:numRef>
          </c:val>
        </c:ser>
        <c:dLbls>
          <c:showLegendKey val="0"/>
          <c:showVal val="0"/>
          <c:showCatName val="0"/>
          <c:showSerName val="0"/>
          <c:showPercent val="0"/>
          <c:showBubbleSize val="0"/>
        </c:dLbls>
        <c:gapWidth val="60"/>
        <c:overlap val="100"/>
        <c:axId val="135965184"/>
        <c:axId val="137397952"/>
      </c:barChart>
      <c:catAx>
        <c:axId val="135965184"/>
        <c:scaling>
          <c:orientation val="minMax"/>
        </c:scaling>
        <c:delete val="0"/>
        <c:axPos val="l"/>
        <c:numFmt formatCode="mmm\-yy" sourceLinked="0"/>
        <c:majorTickMark val="cross"/>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137397952"/>
        <c:crosses val="autoZero"/>
        <c:auto val="1"/>
        <c:lblAlgn val="ctr"/>
        <c:lblOffset val="100"/>
        <c:tickLblSkip val="1"/>
        <c:tickMarkSkip val="1"/>
        <c:noMultiLvlLbl val="0"/>
      </c:catAx>
      <c:valAx>
        <c:axId val="137397952"/>
        <c:scaling>
          <c:orientation val="minMax"/>
          <c:max val="100"/>
          <c:min val="0"/>
        </c:scaling>
        <c:delete val="0"/>
        <c:axPos val="b"/>
        <c:majorGridlines>
          <c:spPr>
            <a:ln>
              <a:solidFill>
                <a:schemeClr val="bg1">
                  <a:lumMod val="85000"/>
                </a:schemeClr>
              </a:solidFill>
            </a:ln>
          </c:spPr>
        </c:majorGridlines>
        <c:title>
          <c:tx>
            <c:rich>
              <a:bodyPr/>
              <a:lstStyle/>
              <a:p>
                <a:pPr>
                  <a:defRPr sz="1000" b="1" i="0" u="none" strike="noStrike" baseline="0">
                    <a:solidFill>
                      <a:srgbClr val="333399"/>
                    </a:solidFill>
                    <a:latin typeface="Calibri"/>
                    <a:ea typeface="Calibri"/>
                    <a:cs typeface="Calibri"/>
                  </a:defRPr>
                </a:pPr>
                <a:r>
                  <a:rPr lang="en-GB"/>
                  <a:t>% of estimated annual drug cost already spent</a:t>
                </a:r>
              </a:p>
            </c:rich>
          </c:tx>
          <c:layout/>
          <c:overlay val="0"/>
        </c:title>
        <c:numFmt formatCode="#,##0" sourceLinked="0"/>
        <c:majorTickMark val="cross"/>
        <c:minorTickMark val="none"/>
        <c:tickLblPos val="nextTo"/>
        <c:txPr>
          <a:bodyPr rot="0" vert="horz"/>
          <a:lstStyle/>
          <a:p>
            <a:pPr>
              <a:defRPr sz="1000" b="0" i="0" u="none" strike="noStrike" baseline="0">
                <a:solidFill>
                  <a:srgbClr val="333399"/>
                </a:solidFill>
                <a:latin typeface="Calibri"/>
                <a:ea typeface="Calibri"/>
                <a:cs typeface="Calibri"/>
              </a:defRPr>
            </a:pPr>
            <a:endParaRPr lang="en-US"/>
          </a:p>
        </c:txPr>
        <c:crossAx val="135965184"/>
        <c:crosses val="autoZero"/>
        <c:crossBetween val="between"/>
        <c:majorUnit val="10"/>
        <c:minorUnit val="0.2"/>
      </c:valAx>
    </c:plotArea>
    <c:legend>
      <c:legendPos val="t"/>
      <c:layout>
        <c:manualLayout>
          <c:xMode val="edge"/>
          <c:yMode val="edge"/>
          <c:x val="0.78841838237556994"/>
          <c:y val="2.9962962962962962E-2"/>
          <c:w val="0.16715282448990354"/>
          <c:h val="0.11728638086905804"/>
        </c:manualLayout>
      </c:layout>
      <c:overlay val="0"/>
      <c:txPr>
        <a:bodyPr/>
        <a:lstStyle/>
        <a:p>
          <a:pPr>
            <a:defRPr sz="735" b="0" i="0" u="none" strike="noStrike" baseline="0">
              <a:solidFill>
                <a:srgbClr val="333399"/>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oddHeader>&amp;A</c:oddHeader>
      <c:oddFooter>Page &amp;P</c:oddFooter>
    </c:headerFooter>
    <c:pageMargins b="1" l="0.75" r="0.75" t="1" header="0.5" footer="0.5"/>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152399</xdr:colOff>
      <xdr:row>0</xdr:row>
      <xdr:rowOff>133350</xdr:rowOff>
    </xdr:from>
    <xdr:to>
      <xdr:col>9</xdr:col>
      <xdr:colOff>238124</xdr:colOff>
      <xdr:row>16</xdr:row>
      <xdr:rowOff>28575</xdr:rowOff>
    </xdr:to>
    <xdr:sp macro="" textlink="">
      <xdr:nvSpPr>
        <xdr:cNvPr id="3077" name="Text Box 1"/>
        <xdr:cNvSpPr txBox="1">
          <a:spLocks noChangeArrowheads="1"/>
        </xdr:cNvSpPr>
      </xdr:nvSpPr>
      <xdr:spPr bwMode="auto">
        <a:xfrm>
          <a:off x="152399" y="133350"/>
          <a:ext cx="11668125" cy="2981325"/>
        </a:xfrm>
        <a:prstGeom prst="rect">
          <a:avLst/>
        </a:prstGeom>
        <a:solidFill>
          <a:schemeClr val="accent1">
            <a:lumMod val="75000"/>
          </a:schemeClr>
        </a:solidFill>
        <a:ln>
          <a:noFill/>
        </a:ln>
      </xdr:spPr>
      <xdr:txBody>
        <a:bodyPr vertOverflow="clip" wrap="square" lIns="36576" tIns="27432" rIns="0" bIns="0" anchor="t"/>
        <a:lstStyle/>
        <a:p>
          <a:pPr algn="l" rtl="0">
            <a:defRPr sz="1000"/>
          </a:pPr>
          <a:r>
            <a:rPr lang="en-GB" sz="1400" b="1" i="0" u="none" strike="noStrike" baseline="0">
              <a:solidFill>
                <a:schemeClr val="bg1"/>
              </a:solidFill>
              <a:latin typeface="+mn-lt"/>
              <a:cs typeface="Arial"/>
            </a:rPr>
            <a:t>How to obtain financial year end forecasts...</a:t>
          </a:r>
          <a:endParaRPr lang="en-GB" sz="1400" b="0" i="0" u="none" strike="noStrike" baseline="0">
            <a:solidFill>
              <a:schemeClr val="bg1"/>
            </a:solidFill>
            <a:latin typeface="+mn-lt"/>
            <a:cs typeface="Arial"/>
          </a:endParaRPr>
        </a:p>
        <a:p>
          <a:pPr algn="l" rtl="0">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Obtain historic monthly cost data for your organisation for the last four years from ePACT2 (April 2016 to March 2020). </a:t>
          </a:r>
        </a:p>
        <a:p>
          <a:pPr marL="228600" indent="-228600" algn="l" rtl="0">
            <a:buFont typeface="+mj-lt"/>
            <a:buAutoNum type="arabicPeriod"/>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Paste this data into cells C2 to C49 on the 'data' worksheet. Hide 'data' sheet (optional) .</a:t>
          </a:r>
        </a:p>
        <a:p>
          <a:pPr marL="228600" indent="-228600" algn="l" rtl="0">
            <a:buFont typeface="+mj-lt"/>
            <a:buAutoNum type="arabicPeriod"/>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Obtain monthly cost data from April 2019 to date from ePACT2. Paste this data into column C in the 'forecast' spreadsheet. </a:t>
          </a:r>
        </a:p>
        <a:p>
          <a:pPr marL="228600" indent="-228600" algn="l" rtl="0">
            <a:buFont typeface="+mj-lt"/>
            <a:buAutoNum type="arabicPeriod"/>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End of year forecasts will show in columns E &amp; G in the 'forecast' worksheet.</a:t>
          </a:r>
        </a:p>
        <a:p>
          <a:pPr marL="228600" indent="-228600" algn="l" rtl="0">
            <a:buFont typeface="+mj-lt"/>
            <a:buAutoNum type="arabicPeriod"/>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Continue to input 'new' data as per point 3 as more months become available throughout the year.</a:t>
          </a:r>
        </a:p>
        <a:p>
          <a:pPr marL="228600" indent="-228600" algn="l" rtl="0">
            <a:buFont typeface="+mj-lt"/>
            <a:buAutoNum type="arabicPeriod"/>
            <a:defRPr sz="1000"/>
          </a:pPr>
          <a:endParaRPr lang="en-GB" sz="1100" b="0" i="0" u="none" strike="noStrike" baseline="0">
            <a:solidFill>
              <a:schemeClr val="bg1"/>
            </a:solidFill>
            <a:latin typeface="+mn-lt"/>
            <a:cs typeface="Arial"/>
          </a:endParaRPr>
        </a:p>
        <a:p>
          <a:pPr marL="228600" indent="-228600" algn="l" rtl="0">
            <a:buFont typeface="+mj-lt"/>
            <a:buAutoNum type="arabicPeriod"/>
            <a:defRPr sz="1000"/>
          </a:pPr>
          <a:r>
            <a:rPr lang="en-GB" sz="1100" b="0" i="0" u="none" strike="noStrike" baseline="0">
              <a:solidFill>
                <a:schemeClr val="bg1"/>
              </a:solidFill>
              <a:latin typeface="+mn-lt"/>
              <a:cs typeface="Arial"/>
            </a:rPr>
            <a:t>The 'charts' worksheet contains charts to show the actual trend of cost as well as the forecast - it should automatically populate as data is input into the 'forecast' worksheet.  The scale on the charts may need amending to suit the cost of prescribing for your organisation (you will need to unprotect the worksheet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0</xdr:row>
      <xdr:rowOff>123825</xdr:rowOff>
    </xdr:from>
    <xdr:to>
      <xdr:col>9</xdr:col>
      <xdr:colOff>304800</xdr:colOff>
      <xdr:row>21</xdr:row>
      <xdr:rowOff>152400</xdr:rowOff>
    </xdr:to>
    <xdr:graphicFrame macro="">
      <xdr:nvGraphicFramePr>
        <xdr:cNvPr id="225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466725</xdr:colOff>
      <xdr:row>0</xdr:row>
      <xdr:rowOff>114300</xdr:rowOff>
    </xdr:from>
    <xdr:to>
      <xdr:col>19</xdr:col>
      <xdr:colOff>57150</xdr:colOff>
      <xdr:row>21</xdr:row>
      <xdr:rowOff>142875</xdr:rowOff>
    </xdr:to>
    <xdr:graphicFrame macro="">
      <xdr:nvGraphicFramePr>
        <xdr:cNvPr id="225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457200</xdr:colOff>
      <xdr:row>22</xdr:row>
      <xdr:rowOff>142875</xdr:rowOff>
    </xdr:from>
    <xdr:to>
      <xdr:col>19</xdr:col>
      <xdr:colOff>47625</xdr:colOff>
      <xdr:row>44</xdr:row>
      <xdr:rowOff>9525</xdr:rowOff>
    </xdr:to>
    <xdr:graphicFrame macro="">
      <xdr:nvGraphicFramePr>
        <xdr:cNvPr id="225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85725</xdr:colOff>
      <xdr:row>22</xdr:row>
      <xdr:rowOff>133350</xdr:rowOff>
    </xdr:from>
    <xdr:to>
      <xdr:col>9</xdr:col>
      <xdr:colOff>285750</xdr:colOff>
      <xdr:row>44</xdr:row>
      <xdr:rowOff>0</xdr:rowOff>
    </xdr:to>
    <xdr:graphicFrame macro="">
      <xdr:nvGraphicFramePr>
        <xdr:cNvPr id="22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showGridLines="0" showRowColHeaders="0" tabSelected="1" zoomScaleNormal="100" workbookViewId="0">
      <selection activeCell="B21" sqref="B21"/>
    </sheetView>
  </sheetViews>
  <sheetFormatPr defaultRowHeight="12.75" x14ac:dyDescent="0.2"/>
  <cols>
    <col min="1" max="1" width="9.140625" style="8"/>
    <col min="2" max="2" width="100.5703125" style="7" customWidth="1"/>
    <col min="3" max="16384" width="9.140625" style="7"/>
  </cols>
  <sheetData>
    <row r="1" spans="1:1" ht="15.75" x14ac:dyDescent="0.25">
      <c r="A1" s="6"/>
    </row>
    <row r="3" spans="1:1" ht="18.75" customHeight="1" x14ac:dyDescent="0.2"/>
    <row r="4" spans="1:1" ht="18.75" customHeight="1" x14ac:dyDescent="0.2"/>
    <row r="5" spans="1:1" ht="18.75" customHeight="1" x14ac:dyDescent="0.2"/>
    <row r="6" spans="1:1" ht="18.75" customHeight="1" x14ac:dyDescent="0.2"/>
    <row r="7" spans="1:1" ht="18.75" customHeight="1" x14ac:dyDescent="0.2"/>
    <row r="8" spans="1:1" ht="18.75" customHeight="1" x14ac:dyDescent="0.2"/>
  </sheetData>
  <sheetProtection sheet="1" objects="1" scenarios="1" selectLockedCells="1" selectUnlockedCells="1"/>
  <phoneticPr fontId="7" type="noConversion"/>
  <pageMargins left="0.75" right="0.75" top="1" bottom="1" header="0.5" footer="0.5"/>
  <pageSetup paperSize="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3"/>
  <sheetViews>
    <sheetView showGridLines="0" topLeftCell="B1" zoomScaleNormal="100" workbookViewId="0">
      <selection activeCell="C50" sqref="C50"/>
    </sheetView>
  </sheetViews>
  <sheetFormatPr defaultRowHeight="14.25" x14ac:dyDescent="0.2"/>
  <cols>
    <col min="1" max="1" width="3" style="2" hidden="1" customWidth="1"/>
    <col min="2" max="2" width="8.7109375" style="71" bestFit="1" customWidth="1"/>
    <col min="3" max="3" width="18" style="1" customWidth="1"/>
    <col min="4" max="4" width="18" style="9" hidden="1" customWidth="1"/>
    <col min="5" max="5" width="16.42578125" style="9" bestFit="1" customWidth="1"/>
    <col min="6" max="14" width="15.7109375" style="9" customWidth="1"/>
    <col min="15" max="16384" width="9.140625" style="2"/>
  </cols>
  <sheetData>
    <row r="1" spans="1:4" ht="33.75" customHeight="1" x14ac:dyDescent="0.2">
      <c r="B1" s="68"/>
      <c r="C1" s="12" t="s">
        <v>16</v>
      </c>
      <c r="D1" s="13" t="s">
        <v>17</v>
      </c>
    </row>
    <row r="2" spans="1:4" x14ac:dyDescent="0.2">
      <c r="A2" s="5">
        <v>1</v>
      </c>
      <c r="B2" s="69">
        <v>42461</v>
      </c>
      <c r="C2" s="63"/>
      <c r="D2" s="82"/>
    </row>
    <row r="3" spans="1:4" x14ac:dyDescent="0.2">
      <c r="A3" s="5">
        <v>2</v>
      </c>
      <c r="B3" s="69">
        <v>42491</v>
      </c>
      <c r="C3" s="64"/>
      <c r="D3" s="83"/>
    </row>
    <row r="4" spans="1:4" x14ac:dyDescent="0.2">
      <c r="A4" s="5">
        <v>3</v>
      </c>
      <c r="B4" s="69">
        <v>42522</v>
      </c>
      <c r="C4" s="64"/>
      <c r="D4" s="83"/>
    </row>
    <row r="5" spans="1:4" x14ac:dyDescent="0.2">
      <c r="A5" s="5">
        <v>4</v>
      </c>
      <c r="B5" s="69">
        <v>42552</v>
      </c>
      <c r="C5" s="64"/>
      <c r="D5" s="83"/>
    </row>
    <row r="6" spans="1:4" x14ac:dyDescent="0.2">
      <c r="A6" s="5">
        <v>5</v>
      </c>
      <c r="B6" s="69">
        <v>42583</v>
      </c>
      <c r="C6" s="64"/>
      <c r="D6" s="83"/>
    </row>
    <row r="7" spans="1:4" x14ac:dyDescent="0.2">
      <c r="A7" s="5">
        <v>6</v>
      </c>
      <c r="B7" s="69">
        <v>42614</v>
      </c>
      <c r="C7" s="64"/>
      <c r="D7" s="83"/>
    </row>
    <row r="8" spans="1:4" x14ac:dyDescent="0.2">
      <c r="A8" s="5">
        <v>7</v>
      </c>
      <c r="B8" s="69">
        <v>42644</v>
      </c>
      <c r="C8" s="64"/>
      <c r="D8" s="83"/>
    </row>
    <row r="9" spans="1:4" x14ac:dyDescent="0.2">
      <c r="A9" s="5">
        <v>8</v>
      </c>
      <c r="B9" s="69">
        <v>42675</v>
      </c>
      <c r="C9" s="64"/>
      <c r="D9" s="83"/>
    </row>
    <row r="10" spans="1:4" x14ac:dyDescent="0.2">
      <c r="A10" s="5">
        <v>9</v>
      </c>
      <c r="B10" s="69">
        <v>42705</v>
      </c>
      <c r="C10" s="64"/>
      <c r="D10" s="83"/>
    </row>
    <row r="11" spans="1:4" x14ac:dyDescent="0.2">
      <c r="A11" s="5">
        <v>10</v>
      </c>
      <c r="B11" s="69">
        <v>42736</v>
      </c>
      <c r="C11" s="64"/>
      <c r="D11" s="83"/>
    </row>
    <row r="12" spans="1:4" x14ac:dyDescent="0.2">
      <c r="A12" s="5">
        <v>11</v>
      </c>
      <c r="B12" s="69">
        <v>42767</v>
      </c>
      <c r="C12" s="64"/>
      <c r="D12" s="83"/>
    </row>
    <row r="13" spans="1:4" x14ac:dyDescent="0.2">
      <c r="A13" s="5">
        <v>12</v>
      </c>
      <c r="B13" s="69">
        <v>42795</v>
      </c>
      <c r="C13" s="64"/>
      <c r="D13" s="83">
        <f>SUM(C2:C13)</f>
        <v>0</v>
      </c>
    </row>
    <row r="14" spans="1:4" x14ac:dyDescent="0.2">
      <c r="A14" s="5">
        <v>13</v>
      </c>
      <c r="B14" s="69">
        <v>42826</v>
      </c>
      <c r="C14" s="64"/>
      <c r="D14" s="83">
        <f t="shared" ref="D14:D61" si="0">SUM(C3:C14)</f>
        <v>0</v>
      </c>
    </row>
    <row r="15" spans="1:4" x14ac:dyDescent="0.2">
      <c r="A15" s="5">
        <v>14</v>
      </c>
      <c r="B15" s="69">
        <v>42856</v>
      </c>
      <c r="C15" s="64"/>
      <c r="D15" s="83">
        <f t="shared" si="0"/>
        <v>0</v>
      </c>
    </row>
    <row r="16" spans="1:4" x14ac:dyDescent="0.2">
      <c r="A16" s="5">
        <v>15</v>
      </c>
      <c r="B16" s="69">
        <v>42887</v>
      </c>
      <c r="C16" s="64"/>
      <c r="D16" s="83">
        <f t="shared" si="0"/>
        <v>0</v>
      </c>
    </row>
    <row r="17" spans="1:16" x14ac:dyDescent="0.2">
      <c r="A17" s="5">
        <v>16</v>
      </c>
      <c r="B17" s="69">
        <v>42917</v>
      </c>
      <c r="C17" s="64"/>
      <c r="D17" s="83">
        <f t="shared" si="0"/>
        <v>0</v>
      </c>
    </row>
    <row r="18" spans="1:16" x14ac:dyDescent="0.2">
      <c r="A18" s="5">
        <v>17</v>
      </c>
      <c r="B18" s="69">
        <v>42948</v>
      </c>
      <c r="C18" s="64"/>
      <c r="D18" s="83">
        <f t="shared" si="0"/>
        <v>0</v>
      </c>
    </row>
    <row r="19" spans="1:16" x14ac:dyDescent="0.2">
      <c r="A19" s="5">
        <v>18</v>
      </c>
      <c r="B19" s="69">
        <v>42979</v>
      </c>
      <c r="C19" s="64"/>
      <c r="D19" s="83">
        <f t="shared" si="0"/>
        <v>0</v>
      </c>
    </row>
    <row r="20" spans="1:16" x14ac:dyDescent="0.2">
      <c r="A20" s="5">
        <v>19</v>
      </c>
      <c r="B20" s="69">
        <v>43009</v>
      </c>
      <c r="C20" s="64"/>
      <c r="D20" s="83">
        <f t="shared" si="0"/>
        <v>0</v>
      </c>
    </row>
    <row r="21" spans="1:16" x14ac:dyDescent="0.2">
      <c r="A21" s="5">
        <v>20</v>
      </c>
      <c r="B21" s="69">
        <v>43040</v>
      </c>
      <c r="C21" s="64"/>
      <c r="D21" s="83">
        <f t="shared" si="0"/>
        <v>0</v>
      </c>
    </row>
    <row r="22" spans="1:16" x14ac:dyDescent="0.2">
      <c r="A22" s="5">
        <v>21</v>
      </c>
      <c r="B22" s="69">
        <v>43070</v>
      </c>
      <c r="C22" s="64"/>
      <c r="D22" s="83">
        <f t="shared" si="0"/>
        <v>0</v>
      </c>
    </row>
    <row r="23" spans="1:16" ht="15" x14ac:dyDescent="0.25">
      <c r="A23" s="5">
        <v>22</v>
      </c>
      <c r="B23" s="69">
        <v>43101</v>
      </c>
      <c r="C23" s="64"/>
      <c r="D23" s="83">
        <f t="shared" si="0"/>
        <v>0</v>
      </c>
      <c r="O23" s="3"/>
      <c r="P23" s="3"/>
    </row>
    <row r="24" spans="1:16" x14ac:dyDescent="0.2">
      <c r="A24" s="5">
        <v>23</v>
      </c>
      <c r="B24" s="69">
        <v>43132</v>
      </c>
      <c r="C24" s="64"/>
      <c r="D24" s="83">
        <f t="shared" si="0"/>
        <v>0</v>
      </c>
    </row>
    <row r="25" spans="1:16" x14ac:dyDescent="0.2">
      <c r="A25" s="5">
        <v>24</v>
      </c>
      <c r="B25" s="69">
        <v>43160</v>
      </c>
      <c r="C25" s="64"/>
      <c r="D25" s="83">
        <f t="shared" si="0"/>
        <v>0</v>
      </c>
    </row>
    <row r="26" spans="1:16" x14ac:dyDescent="0.2">
      <c r="A26" s="5">
        <v>25</v>
      </c>
      <c r="B26" s="69">
        <v>43191</v>
      </c>
      <c r="C26" s="64"/>
      <c r="D26" s="83">
        <f t="shared" si="0"/>
        <v>0</v>
      </c>
    </row>
    <row r="27" spans="1:16" x14ac:dyDescent="0.2">
      <c r="A27" s="5">
        <v>26</v>
      </c>
      <c r="B27" s="69">
        <v>43221</v>
      </c>
      <c r="C27" s="64"/>
      <c r="D27" s="83">
        <f t="shared" si="0"/>
        <v>0</v>
      </c>
    </row>
    <row r="28" spans="1:16" x14ac:dyDescent="0.2">
      <c r="A28" s="5">
        <v>27</v>
      </c>
      <c r="B28" s="69">
        <v>43252</v>
      </c>
      <c r="C28" s="64"/>
      <c r="D28" s="83">
        <f t="shared" si="0"/>
        <v>0</v>
      </c>
    </row>
    <row r="29" spans="1:16" x14ac:dyDescent="0.2">
      <c r="A29" s="5">
        <v>28</v>
      </c>
      <c r="B29" s="69">
        <v>43282</v>
      </c>
      <c r="C29" s="64"/>
      <c r="D29" s="83">
        <f t="shared" si="0"/>
        <v>0</v>
      </c>
    </row>
    <row r="30" spans="1:16" x14ac:dyDescent="0.2">
      <c r="A30" s="5">
        <v>29</v>
      </c>
      <c r="B30" s="69">
        <v>43313</v>
      </c>
      <c r="C30" s="64"/>
      <c r="D30" s="83">
        <f t="shared" si="0"/>
        <v>0</v>
      </c>
    </row>
    <row r="31" spans="1:16" x14ac:dyDescent="0.2">
      <c r="A31" s="5">
        <v>30</v>
      </c>
      <c r="B31" s="69">
        <v>43344</v>
      </c>
      <c r="C31" s="64"/>
      <c r="D31" s="83">
        <f t="shared" si="0"/>
        <v>0</v>
      </c>
    </row>
    <row r="32" spans="1:16" x14ac:dyDescent="0.2">
      <c r="A32" s="5">
        <v>31</v>
      </c>
      <c r="B32" s="69">
        <v>43374</v>
      </c>
      <c r="C32" s="64"/>
      <c r="D32" s="83">
        <f t="shared" si="0"/>
        <v>0</v>
      </c>
    </row>
    <row r="33" spans="1:4" x14ac:dyDescent="0.2">
      <c r="A33" s="5">
        <v>32</v>
      </c>
      <c r="B33" s="69">
        <v>43405</v>
      </c>
      <c r="C33" s="64"/>
      <c r="D33" s="83">
        <f t="shared" si="0"/>
        <v>0</v>
      </c>
    </row>
    <row r="34" spans="1:4" x14ac:dyDescent="0.2">
      <c r="A34" s="5">
        <v>33</v>
      </c>
      <c r="B34" s="69">
        <v>43435</v>
      </c>
      <c r="C34" s="64"/>
      <c r="D34" s="83">
        <f t="shared" si="0"/>
        <v>0</v>
      </c>
    </row>
    <row r="35" spans="1:4" x14ac:dyDescent="0.2">
      <c r="A35" s="5">
        <v>34</v>
      </c>
      <c r="B35" s="69">
        <v>43466</v>
      </c>
      <c r="C35" s="64"/>
      <c r="D35" s="83">
        <f t="shared" si="0"/>
        <v>0</v>
      </c>
    </row>
    <row r="36" spans="1:4" x14ac:dyDescent="0.2">
      <c r="A36" s="5">
        <v>35</v>
      </c>
      <c r="B36" s="69">
        <v>43497</v>
      </c>
      <c r="C36" s="64"/>
      <c r="D36" s="83">
        <f t="shared" si="0"/>
        <v>0</v>
      </c>
    </row>
    <row r="37" spans="1:4" x14ac:dyDescent="0.2">
      <c r="A37" s="5">
        <v>36</v>
      </c>
      <c r="B37" s="69">
        <v>43525</v>
      </c>
      <c r="C37" s="64"/>
      <c r="D37" s="83">
        <f t="shared" si="0"/>
        <v>0</v>
      </c>
    </row>
    <row r="38" spans="1:4" x14ac:dyDescent="0.2">
      <c r="A38" s="5">
        <v>37</v>
      </c>
      <c r="B38" s="69">
        <v>43556</v>
      </c>
      <c r="C38" s="64"/>
      <c r="D38" s="83">
        <f t="shared" si="0"/>
        <v>0</v>
      </c>
    </row>
    <row r="39" spans="1:4" x14ac:dyDescent="0.2">
      <c r="A39" s="5">
        <v>38</v>
      </c>
      <c r="B39" s="69">
        <v>43586</v>
      </c>
      <c r="C39" s="64"/>
      <c r="D39" s="83">
        <f t="shared" si="0"/>
        <v>0</v>
      </c>
    </row>
    <row r="40" spans="1:4" x14ac:dyDescent="0.2">
      <c r="A40" s="5">
        <v>39</v>
      </c>
      <c r="B40" s="69">
        <v>43617</v>
      </c>
      <c r="C40" s="64"/>
      <c r="D40" s="83">
        <f t="shared" si="0"/>
        <v>0</v>
      </c>
    </row>
    <row r="41" spans="1:4" x14ac:dyDescent="0.2">
      <c r="A41" s="5">
        <v>40</v>
      </c>
      <c r="B41" s="69">
        <v>43647</v>
      </c>
      <c r="C41" s="64"/>
      <c r="D41" s="83">
        <f t="shared" si="0"/>
        <v>0</v>
      </c>
    </row>
    <row r="42" spans="1:4" x14ac:dyDescent="0.2">
      <c r="A42" s="5">
        <v>41</v>
      </c>
      <c r="B42" s="69">
        <v>43678</v>
      </c>
      <c r="C42" s="64"/>
      <c r="D42" s="83">
        <f t="shared" si="0"/>
        <v>0</v>
      </c>
    </row>
    <row r="43" spans="1:4" x14ac:dyDescent="0.2">
      <c r="A43" s="5">
        <v>42</v>
      </c>
      <c r="B43" s="69">
        <v>43709</v>
      </c>
      <c r="C43" s="64"/>
      <c r="D43" s="83">
        <f t="shared" si="0"/>
        <v>0</v>
      </c>
    </row>
    <row r="44" spans="1:4" x14ac:dyDescent="0.2">
      <c r="A44" s="5">
        <v>43</v>
      </c>
      <c r="B44" s="69">
        <v>43739</v>
      </c>
      <c r="C44" s="64"/>
      <c r="D44" s="83">
        <f t="shared" si="0"/>
        <v>0</v>
      </c>
    </row>
    <row r="45" spans="1:4" x14ac:dyDescent="0.2">
      <c r="A45" s="5">
        <v>44</v>
      </c>
      <c r="B45" s="69">
        <v>43770</v>
      </c>
      <c r="C45" s="64"/>
      <c r="D45" s="83">
        <f t="shared" si="0"/>
        <v>0</v>
      </c>
    </row>
    <row r="46" spans="1:4" x14ac:dyDescent="0.2">
      <c r="A46" s="5">
        <v>45</v>
      </c>
      <c r="B46" s="69">
        <v>43800</v>
      </c>
      <c r="C46" s="64"/>
      <c r="D46" s="83">
        <f t="shared" si="0"/>
        <v>0</v>
      </c>
    </row>
    <row r="47" spans="1:4" x14ac:dyDescent="0.2">
      <c r="A47" s="5">
        <v>46</v>
      </c>
      <c r="B47" s="69">
        <v>43831</v>
      </c>
      <c r="C47" s="64"/>
      <c r="D47" s="83">
        <f t="shared" si="0"/>
        <v>0</v>
      </c>
    </row>
    <row r="48" spans="1:4" x14ac:dyDescent="0.2">
      <c r="A48" s="5">
        <v>47</v>
      </c>
      <c r="B48" s="69">
        <v>43862</v>
      </c>
      <c r="C48" s="64"/>
      <c r="D48" s="83">
        <f t="shared" si="0"/>
        <v>0</v>
      </c>
    </row>
    <row r="49" spans="1:6" x14ac:dyDescent="0.2">
      <c r="A49" s="5">
        <v>48</v>
      </c>
      <c r="B49" s="69">
        <v>43891</v>
      </c>
      <c r="C49" s="64"/>
      <c r="D49" s="83">
        <f t="shared" si="0"/>
        <v>0</v>
      </c>
    </row>
    <row r="50" spans="1:6" x14ac:dyDescent="0.2">
      <c r="A50" s="5">
        <v>49</v>
      </c>
      <c r="B50" s="69">
        <v>43922</v>
      </c>
      <c r="C50" s="65">
        <f>Forecast!C6</f>
        <v>0</v>
      </c>
      <c r="D50" s="83">
        <f t="shared" si="0"/>
        <v>0</v>
      </c>
      <c r="E50" s="20"/>
    </row>
    <row r="51" spans="1:6" x14ac:dyDescent="0.2">
      <c r="A51" s="5">
        <v>50</v>
      </c>
      <c r="B51" s="69">
        <v>43952</v>
      </c>
      <c r="C51" s="66">
        <f>Forecast!C7</f>
        <v>0</v>
      </c>
      <c r="D51" s="83">
        <f t="shared" si="0"/>
        <v>0</v>
      </c>
      <c r="E51" s="10"/>
    </row>
    <row r="52" spans="1:6" x14ac:dyDescent="0.2">
      <c r="A52" s="5">
        <v>51</v>
      </c>
      <c r="B52" s="69">
        <v>43983</v>
      </c>
      <c r="C52" s="66">
        <f>Forecast!C8</f>
        <v>0</v>
      </c>
      <c r="D52" s="83">
        <f t="shared" si="0"/>
        <v>0</v>
      </c>
      <c r="E52" s="10"/>
    </row>
    <row r="53" spans="1:6" x14ac:dyDescent="0.2">
      <c r="A53" s="5">
        <v>52</v>
      </c>
      <c r="B53" s="69">
        <v>44013</v>
      </c>
      <c r="C53" s="66">
        <f>Forecast!C9</f>
        <v>0</v>
      </c>
      <c r="D53" s="83">
        <f t="shared" si="0"/>
        <v>0</v>
      </c>
      <c r="E53" s="10"/>
    </row>
    <row r="54" spans="1:6" x14ac:dyDescent="0.2">
      <c r="A54" s="5">
        <v>53</v>
      </c>
      <c r="B54" s="69">
        <v>44044</v>
      </c>
      <c r="C54" s="66">
        <f>Forecast!C10</f>
        <v>0</v>
      </c>
      <c r="D54" s="83">
        <f t="shared" si="0"/>
        <v>0</v>
      </c>
      <c r="E54" s="10"/>
    </row>
    <row r="55" spans="1:6" x14ac:dyDescent="0.2">
      <c r="A55" s="5">
        <v>54</v>
      </c>
      <c r="B55" s="69">
        <v>44075</v>
      </c>
      <c r="C55" s="66">
        <f>Forecast!C11</f>
        <v>0</v>
      </c>
      <c r="D55" s="83">
        <f t="shared" si="0"/>
        <v>0</v>
      </c>
      <c r="E55" s="10"/>
    </row>
    <row r="56" spans="1:6" x14ac:dyDescent="0.2">
      <c r="A56" s="5">
        <v>55</v>
      </c>
      <c r="B56" s="69">
        <v>44105</v>
      </c>
      <c r="C56" s="66">
        <f>Forecast!C12</f>
        <v>0</v>
      </c>
      <c r="D56" s="83">
        <f t="shared" si="0"/>
        <v>0</v>
      </c>
      <c r="E56" s="10"/>
    </row>
    <row r="57" spans="1:6" x14ac:dyDescent="0.2">
      <c r="A57" s="5">
        <v>56</v>
      </c>
      <c r="B57" s="69">
        <v>44136</v>
      </c>
      <c r="C57" s="66">
        <f>Forecast!C13</f>
        <v>0</v>
      </c>
      <c r="D57" s="83">
        <f t="shared" si="0"/>
        <v>0</v>
      </c>
      <c r="E57" s="10"/>
    </row>
    <row r="58" spans="1:6" x14ac:dyDescent="0.2">
      <c r="A58" s="5">
        <v>57</v>
      </c>
      <c r="B58" s="69">
        <v>44166</v>
      </c>
      <c r="C58" s="66">
        <f>Forecast!C14</f>
        <v>0</v>
      </c>
      <c r="D58" s="83">
        <f t="shared" si="0"/>
        <v>0</v>
      </c>
      <c r="E58" s="10"/>
    </row>
    <row r="59" spans="1:6" x14ac:dyDescent="0.2">
      <c r="A59" s="5">
        <v>58</v>
      </c>
      <c r="B59" s="69">
        <v>44197</v>
      </c>
      <c r="C59" s="66">
        <f>Forecast!C15</f>
        <v>0</v>
      </c>
      <c r="D59" s="83">
        <f t="shared" si="0"/>
        <v>0</v>
      </c>
      <c r="E59" s="10"/>
    </row>
    <row r="60" spans="1:6" x14ac:dyDescent="0.2">
      <c r="A60" s="5">
        <v>59</v>
      </c>
      <c r="B60" s="69">
        <v>44228</v>
      </c>
      <c r="C60" s="66">
        <f>Forecast!C16</f>
        <v>0</v>
      </c>
      <c r="D60" s="83">
        <f t="shared" si="0"/>
        <v>0</v>
      </c>
      <c r="E60" s="10"/>
    </row>
    <row r="61" spans="1:6" x14ac:dyDescent="0.2">
      <c r="A61" s="5">
        <v>60</v>
      </c>
      <c r="B61" s="69">
        <v>44256</v>
      </c>
      <c r="C61" s="67">
        <f>Forecast!C17</f>
        <v>0</v>
      </c>
      <c r="D61" s="83">
        <f t="shared" si="0"/>
        <v>0</v>
      </c>
      <c r="E61" s="10"/>
      <c r="F61" s="11"/>
    </row>
    <row r="62" spans="1:6" x14ac:dyDescent="0.2">
      <c r="B62" s="70"/>
      <c r="C62" s="4"/>
    </row>
    <row r="63" spans="1:6" x14ac:dyDescent="0.2">
      <c r="B63" s="70"/>
      <c r="C63" s="4"/>
    </row>
    <row r="64" spans="1:6" x14ac:dyDescent="0.2">
      <c r="B64" s="70"/>
      <c r="C64" s="4"/>
    </row>
    <row r="65" spans="2:3" x14ac:dyDescent="0.2">
      <c r="B65" s="70"/>
      <c r="C65" s="4"/>
    </row>
    <row r="66" spans="2:3" x14ac:dyDescent="0.2">
      <c r="B66" s="70"/>
      <c r="C66" s="4"/>
    </row>
    <row r="67" spans="2:3" x14ac:dyDescent="0.2">
      <c r="B67" s="70"/>
      <c r="C67" s="4"/>
    </row>
    <row r="68" spans="2:3" x14ac:dyDescent="0.2">
      <c r="B68" s="70"/>
      <c r="C68" s="4"/>
    </row>
    <row r="69" spans="2:3" x14ac:dyDescent="0.2">
      <c r="B69" s="70"/>
      <c r="C69" s="4"/>
    </row>
    <row r="70" spans="2:3" x14ac:dyDescent="0.2">
      <c r="B70" s="70"/>
      <c r="C70" s="4"/>
    </row>
    <row r="71" spans="2:3" x14ac:dyDescent="0.2">
      <c r="B71" s="70"/>
      <c r="C71" s="4"/>
    </row>
    <row r="72" spans="2:3" x14ac:dyDescent="0.2">
      <c r="B72" s="70"/>
      <c r="C72" s="4"/>
    </row>
    <row r="73" spans="2:3" x14ac:dyDescent="0.2">
      <c r="B73" s="70"/>
      <c r="C73" s="4"/>
    </row>
  </sheetData>
  <sheetProtection sheet="1" objects="1" scenarios="1"/>
  <phoneticPr fontId="7" type="noConversion"/>
  <pageMargins left="0.75" right="0.75" top="1" bottom="1" header="0.5" footer="0.5"/>
  <pageSetup paperSize="9" orientation="portrait" r:id="rId1"/>
  <headerFooter alignWithMargins="0"/>
  <ignoredErrors>
    <ignoredError sqref="D13:D45"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showGridLines="0" zoomScale="110" workbookViewId="0">
      <selection activeCell="D23" sqref="D23"/>
    </sheetView>
  </sheetViews>
  <sheetFormatPr defaultRowHeight="12.75" x14ac:dyDescent="0.2"/>
  <cols>
    <col min="1" max="1" width="1.28515625" style="22" customWidth="1"/>
    <col min="2" max="2" width="8.7109375" style="43" customWidth="1"/>
    <col min="3" max="3" width="16.85546875" style="22" customWidth="1"/>
    <col min="4" max="4" width="18.140625" style="22" customWidth="1"/>
    <col min="5" max="5" width="16.42578125" style="23" customWidth="1"/>
    <col min="6" max="7" width="16.42578125" style="24" customWidth="1"/>
    <col min="8" max="8" width="16.42578125" style="22" customWidth="1"/>
    <col min="9" max="9" width="10.85546875" style="22" bestFit="1" customWidth="1"/>
    <col min="10" max="10" width="13.85546875" style="22" bestFit="1" customWidth="1"/>
    <col min="11" max="14" width="10.85546875" style="22" bestFit="1" customWidth="1"/>
    <col min="15" max="16384" width="9.140625" style="22"/>
  </cols>
  <sheetData>
    <row r="1" spans="2:10" s="23" customFormat="1" x14ac:dyDescent="0.2">
      <c r="B1" s="21"/>
      <c r="C1" s="22"/>
      <c r="D1" s="22"/>
      <c r="F1" s="24"/>
      <c r="G1" s="24"/>
    </row>
    <row r="2" spans="2:10" ht="18.75" x14ac:dyDescent="0.2">
      <c r="B2" s="86" t="s">
        <v>18</v>
      </c>
      <c r="C2" s="86"/>
      <c r="D2" s="86"/>
      <c r="E2" s="86"/>
      <c r="F2" s="86"/>
      <c r="G2" s="86"/>
      <c r="H2" s="86"/>
    </row>
    <row r="3" spans="2:10" s="23" customFormat="1" ht="5.25" customHeight="1" thickBot="1" x14ac:dyDescent="0.25">
      <c r="B3" s="25"/>
      <c r="C3" s="25"/>
      <c r="D3" s="25"/>
      <c r="E3" s="25"/>
      <c r="F3" s="25"/>
      <c r="G3" s="25"/>
      <c r="H3" s="25"/>
    </row>
    <row r="4" spans="2:10" ht="18.75" x14ac:dyDescent="0.2">
      <c r="B4" s="26"/>
      <c r="C4" s="26"/>
      <c r="D4" s="26"/>
      <c r="E4" s="84" t="s">
        <v>0</v>
      </c>
      <c r="F4" s="84"/>
      <c r="G4" s="84" t="s">
        <v>1</v>
      </c>
      <c r="H4" s="85"/>
    </row>
    <row r="5" spans="2:10" s="30" customFormat="1" ht="36.75" customHeight="1" x14ac:dyDescent="0.2">
      <c r="B5" s="27"/>
      <c r="C5" s="28" t="s">
        <v>14</v>
      </c>
      <c r="D5" s="28" t="s">
        <v>15</v>
      </c>
      <c r="E5" s="29" t="s">
        <v>19</v>
      </c>
      <c r="F5" s="28" t="s">
        <v>20</v>
      </c>
      <c r="G5" s="29" t="s">
        <v>19</v>
      </c>
      <c r="H5" s="50" t="s">
        <v>20</v>
      </c>
    </row>
    <row r="6" spans="2:10" x14ac:dyDescent="0.2">
      <c r="B6" s="31">
        <v>43922</v>
      </c>
      <c r="C6" s="72"/>
      <c r="D6" s="51" t="str">
        <f>IF(ISBLANK(C6),"",SUM($C$6:C6))</f>
        <v/>
      </c>
      <c r="E6" s="55" t="str">
        <f>IF(C6=0,"",(AVERAGE(data!C39:C50)*11)+data!C50)</f>
        <v/>
      </c>
      <c r="F6" s="59" t="str">
        <f>(IF(E6="","",((E6-SUM(data!$C$38:$C$49))/SUM(data!$C$38:$C$49))*100))</f>
        <v/>
      </c>
      <c r="G6" s="55" t="str">
        <f>IF(C6=0,"",TREND(data!$C$2:C50,data!$A$2:A50,data!A51)+TREND(data!$C$2:C50,data!$A$2:A50,data!A52)+TREND(data!$C$2:C50,data!$A$2:A50,data!A53)+TREND(data!$C$2:C50,data!$A$2:A50,data!A54)+TREND(data!$C$2:C50,data!$A$2:A50,data!A55)+TREND(data!$C$2:C50,data!$A$2:A50,data!A56)+TREND(data!$C$2:C50,data!$A$2:A50,data!A57)+TREND(data!$C$2:C50,data!$A$2:A50,data!A58)+TREND(data!$C$2:C50,data!$A$2:A50,data!A59)+TREND(data!$C$2:C50,data!$A$2:A50,data!A60)+TREND(data!$C$2:C50,data!$A$2:A50,data!A61)+data!C50)</f>
        <v/>
      </c>
      <c r="H6" s="60" t="str">
        <f>IF(G6="","",((G6-SUM(data!$C$38:$C$49))/SUM(data!$C$38:$C$49))*100)</f>
        <v/>
      </c>
      <c r="I6" s="32"/>
      <c r="J6" s="33"/>
    </row>
    <row r="7" spans="2:10" x14ac:dyDescent="0.2">
      <c r="B7" s="31">
        <v>43952</v>
      </c>
      <c r="C7" s="73"/>
      <c r="D7" s="52" t="str">
        <f>IF(ISBLANK(C7),"",SUM($C$6:C7))</f>
        <v/>
      </c>
      <c r="E7" s="56" t="str">
        <f>IF(C7=0,"",(AVERAGE(data!C40:C51)*10)+SUM(data!C50:C51))</f>
        <v/>
      </c>
      <c r="F7" s="59" t="str">
        <f>(IF(E7="","",((E7-SUM(data!$C$38:$C$49))/SUM(data!$C$38:$C$49))*100))</f>
        <v/>
      </c>
      <c r="G7" s="56" t="str">
        <f>IF(C7=0,"",TREND(data!$C$2:C51,data!$A$2:A51,data!A52)+TREND(data!$C$2:C51,data!$A$2:A51,data!A53)+TREND(data!$C$2:C51,data!$A$2:A51,data!A54)+TREND(data!$C$2:C51,data!$A$2:A51,data!A55)+TREND(data!$C$2:C51,data!$A$2:A51,data!A56)+TREND(data!$C$2:C51,data!$A$2:A51,data!A57)+TREND(data!$C$2:C51,data!$A$2:A51,data!A58)+TREND(data!$C$2:C51,data!$A$2:A51,data!A59)+TREND(data!$C$2:C51,data!$A$2:A51,data!A60)+TREND(data!$C$2:C51,data!$A$2:A51,data!A61)+SUM(data!$C$50:C51))</f>
        <v/>
      </c>
      <c r="H7" s="60" t="str">
        <f>IF(G7="","",((G7-SUM(data!$C$38:$C$49))/SUM(data!$C$38:$C$49))*100)</f>
        <v/>
      </c>
      <c r="I7" s="32"/>
      <c r="J7" s="33"/>
    </row>
    <row r="8" spans="2:10" x14ac:dyDescent="0.2">
      <c r="B8" s="31">
        <v>43983</v>
      </c>
      <c r="C8" s="73"/>
      <c r="D8" s="52" t="str">
        <f>IF(ISBLANK(C8),"",SUM($C$6:C8))</f>
        <v/>
      </c>
      <c r="E8" s="56" t="str">
        <f>IF(C8=0,"",(AVERAGE(data!C41:C52)*9)+SUM(data!C50:C52))</f>
        <v/>
      </c>
      <c r="F8" s="59" t="str">
        <f>(IF(E8="","",((E8-SUM(data!$C$38:$C$49))/SUM(data!$C$38:$C$49))*100))</f>
        <v/>
      </c>
      <c r="G8" s="56" t="str">
        <f>IF(C8=0,"",TREND(data!$C$2:C52,data!$A$2:A52,data!A53)+TREND(data!$C$2:C52,data!$A$2:A52,data!A54)+TREND(data!$C$2:C52,data!$A$2:A52,data!A55)+TREND(data!$C$2:C52,data!$A$2:A52,data!A56)+TREND(data!$C$2:C52,data!$A$2:A52,data!A57)+TREND(data!$C$2:C52,data!$A$2:A52,data!A58)+TREND(data!$C$2:C52,data!$A$2:A52,data!A59)+TREND(data!$C$2:C52,data!$A$2:A52,data!A60)+TREND(data!$C$2:C52,data!$A$2:A52,data!A61)+SUM(data!$C$50:C52))</f>
        <v/>
      </c>
      <c r="H8" s="60" t="str">
        <f>IF(G8="","",((G8-SUM(data!$C$38:$C$49))/SUM(data!$C$38:$C$49))*100)</f>
        <v/>
      </c>
      <c r="I8" s="32"/>
      <c r="J8" s="33"/>
    </row>
    <row r="9" spans="2:10" x14ac:dyDescent="0.2">
      <c r="B9" s="31">
        <v>44013</v>
      </c>
      <c r="C9" s="73"/>
      <c r="D9" s="52" t="str">
        <f>IF(ISBLANK(C9),"",SUM($C$6:C9))</f>
        <v/>
      </c>
      <c r="E9" s="56" t="str">
        <f>IF(C9=0,"",(AVERAGE(data!C42:C53)*8)+SUM(data!C50:C53))</f>
        <v/>
      </c>
      <c r="F9" s="59" t="str">
        <f>(IF(E9="","",((E9-SUM(data!$C$38:$C$49))/SUM(data!$C$38:$C$49))*100))</f>
        <v/>
      </c>
      <c r="G9" s="56" t="str">
        <f>IF(C9=0,"",TREND(data!$C$2:C53,data!$A$2:A53,data!A54)+TREND(data!$C$2:C53,data!$A$2:A53,data!A55)+TREND(data!$C$2:C53,data!$A$2:A53,data!A56)+TREND(data!$C$2:C53,data!$A$2:A53,data!A57)+TREND(data!$C$2:C53,data!$A$2:A53,data!A58)+TREND(data!$C$2:C53,data!$A$2:A53,data!A59)+TREND(data!$C$2:C53,data!$A$2:A53,data!A60)+TREND(data!$C$2:C53,data!$A$2:A53,data!A61)+SUM(data!$C$50:C53))</f>
        <v/>
      </c>
      <c r="H9" s="60" t="str">
        <f>IF(G9="","",((G9-SUM(data!$C$38:$C$49))/SUM(data!$C$38:$C$49))*100)</f>
        <v/>
      </c>
      <c r="I9" s="32"/>
      <c r="J9" s="33"/>
    </row>
    <row r="10" spans="2:10" x14ac:dyDescent="0.2">
      <c r="B10" s="31">
        <v>44044</v>
      </c>
      <c r="C10" s="73"/>
      <c r="D10" s="52" t="str">
        <f>IF(ISBLANK(C10),"",SUM($C$6:C10))</f>
        <v/>
      </c>
      <c r="E10" s="56" t="str">
        <f>IF(C10=0,"",(AVERAGE(data!C43:C54)*7)+SUM(data!C50:C54))</f>
        <v/>
      </c>
      <c r="F10" s="59" t="str">
        <f>(IF(E10="","",((E10-SUM(data!$C$38:$C$49))/SUM(data!$C$38:$C$49))*100))</f>
        <v/>
      </c>
      <c r="G10" s="56" t="str">
        <f>IF(C10=0,"",TREND(data!$C$2:C54,data!$A$2:A54,data!A55)+TREND(data!$C$2:C54,data!$A$2:A54,data!A56)+TREND(data!$C$2:C54,data!$A$2:A54,data!A57)+TREND(data!$C$2:C54,data!$A$2:A54,data!A58)+TREND(data!$C$2:C54,data!$A$2:A54,data!A59)+TREND(data!$C$2:C54,data!$A$2:A54,data!A60)+TREND(data!$C$2:C54,data!$A$2:A54,data!A61)+SUM(data!$C$50:C54))</f>
        <v/>
      </c>
      <c r="H10" s="60" t="str">
        <f>IF(G10="","",((G10-SUM(data!$C$38:$C$49))/SUM(data!$C$38:$C$49))*100)</f>
        <v/>
      </c>
      <c r="I10" s="32"/>
      <c r="J10" s="33"/>
    </row>
    <row r="11" spans="2:10" x14ac:dyDescent="0.2">
      <c r="B11" s="31">
        <v>44075</v>
      </c>
      <c r="C11" s="73"/>
      <c r="D11" s="52" t="str">
        <f>IF(ISBLANK(C11),"",SUM($C$6:C11))</f>
        <v/>
      </c>
      <c r="E11" s="56" t="str">
        <f>IF(C11=0,"",(AVERAGE(data!C44:C55)*6)+SUM(data!C50:C55))</f>
        <v/>
      </c>
      <c r="F11" s="59" t="str">
        <f>(IF(E11="","",((E11-SUM(data!$C$38:$C$49))/SUM(data!$C$38:$C$49))*100))</f>
        <v/>
      </c>
      <c r="G11" s="56" t="str">
        <f>IF(C11=0,"",TREND(data!$C$2:C55,data!$A$2:A55,data!A56)+TREND(data!$C$2:C55,data!$A$2:A55,data!A57)+TREND(data!$C$2:C55,data!$A$2:A55,data!A58)+TREND(data!$C$2:C55,data!$A$2:A55,data!A59)+TREND(data!$C$2:C55,data!$A$2:A55,data!A60)+TREND(data!$C$2:C55,data!$A$2:A55,data!A61)+SUM(data!$C$50:C55))</f>
        <v/>
      </c>
      <c r="H11" s="60" t="str">
        <f>IF(G11="","",((G11-SUM(data!$C$38:$C$49))/SUM(data!$C$38:$C$49))*100)</f>
        <v/>
      </c>
      <c r="I11" s="32"/>
      <c r="J11" s="33"/>
    </row>
    <row r="12" spans="2:10" x14ac:dyDescent="0.2">
      <c r="B12" s="31">
        <v>44105</v>
      </c>
      <c r="C12" s="73"/>
      <c r="D12" s="52" t="str">
        <f>IF(ISBLANK(C12),"",SUM($C$6:C12))</f>
        <v/>
      </c>
      <c r="E12" s="56" t="str">
        <f>IF(C12=0,"",(AVERAGE(data!C45:C56)*5)+SUM(data!C50:C56))</f>
        <v/>
      </c>
      <c r="F12" s="59" t="str">
        <f>(IF(E12="","",((E12-SUM(data!$C$38:$C$49))/SUM(data!$C$38:$C$49))*100))</f>
        <v/>
      </c>
      <c r="G12" s="56" t="str">
        <f>IF(C12=0,"",TREND(data!$C$2:C56,data!$A$2:A56,data!A57)+TREND(data!$C$2:C56,data!$A$2:A56,data!A58)+TREND(data!$C$2:C56,data!$A$2:A56,data!A59)+TREND(data!$C$2:C56,data!$A$2:A56,data!A60)+TREND(data!$C$2:C56,data!$A$2:A56,data!A61)+SUM(data!$C$50:C56))</f>
        <v/>
      </c>
      <c r="H12" s="60" t="str">
        <f>IF(G12="","",((G12-SUM(data!$C$38:$C$49))/SUM(data!$C$38:$C$49))*100)</f>
        <v/>
      </c>
      <c r="I12" s="32"/>
      <c r="J12" s="33"/>
    </row>
    <row r="13" spans="2:10" x14ac:dyDescent="0.2">
      <c r="B13" s="31">
        <v>44136</v>
      </c>
      <c r="C13" s="73"/>
      <c r="D13" s="52" t="str">
        <f>IF(ISBLANK(C13),"",SUM($C$6:C13))</f>
        <v/>
      </c>
      <c r="E13" s="56" t="str">
        <f>IF(C13=0,"",(AVERAGE(data!C46:C57)*4)+SUM(data!C50:C57))</f>
        <v/>
      </c>
      <c r="F13" s="59" t="str">
        <f>(IF(E13="","",((E13-SUM(data!$C$38:$C$49))/SUM(data!$C$38:$C$49))*100))</f>
        <v/>
      </c>
      <c r="G13" s="56" t="str">
        <f>IF(C13=0,"",TREND(data!$C$2:C57,data!$A$2:A57,data!A58)+TREND(data!$C$2:C57,data!$A$2:A57,data!A59)+TREND(data!$C$2:C57,data!$A$2:A57,data!A60)+TREND(data!$C$2:C57,data!$A$2:A57,data!A61)+SUM(data!$C$50:C57))</f>
        <v/>
      </c>
      <c r="H13" s="60" t="str">
        <f>IF(G13="","",((G13-SUM(data!$C$38:$C$49))/SUM(data!$C$38:$C$49))*100)</f>
        <v/>
      </c>
      <c r="I13" s="32"/>
      <c r="J13" s="33"/>
    </row>
    <row r="14" spans="2:10" x14ac:dyDescent="0.2">
      <c r="B14" s="31">
        <v>44166</v>
      </c>
      <c r="C14" s="73"/>
      <c r="D14" s="52" t="str">
        <f>IF(ISBLANK(C14),"",SUM($C$6:C14))</f>
        <v/>
      </c>
      <c r="E14" s="56" t="str">
        <f>IF(C14=0,"",(AVERAGE(data!C47:C58)*3)+SUM(data!C50:C58))</f>
        <v/>
      </c>
      <c r="F14" s="59" t="str">
        <f>(IF(E14="","",((E14-SUM(data!$C$38:$C$49))/SUM(data!$C$38:$C$49))*100))</f>
        <v/>
      </c>
      <c r="G14" s="56" t="str">
        <f>IF(C14=0,"",TREND(data!$C$2:C58,data!$A$2:A58,data!A59)+TREND(data!$C$2:C58,data!$A$2:A58,data!A60)+TREND(data!$C$2:C58,data!$A$2:A58,data!A61)+SUM(data!$C$50:C58))</f>
        <v/>
      </c>
      <c r="H14" s="60" t="str">
        <f>IF(G14="","",((G14-SUM(data!$C$38:$C$49))/SUM(data!$C$38:$C$49))*100)</f>
        <v/>
      </c>
      <c r="I14" s="32"/>
      <c r="J14" s="33"/>
    </row>
    <row r="15" spans="2:10" x14ac:dyDescent="0.2">
      <c r="B15" s="31">
        <v>44197</v>
      </c>
      <c r="C15" s="73"/>
      <c r="D15" s="52" t="str">
        <f>IF(ISBLANK(C15),"",SUM($C$6:C15))</f>
        <v/>
      </c>
      <c r="E15" s="56" t="str">
        <f>IF(C15=0,"",(AVERAGE(data!C48:C59)*2)+SUM(data!C50:C59))</f>
        <v/>
      </c>
      <c r="F15" s="59" t="str">
        <f>(IF(E15="","",((E15-SUM(data!$C$38:$C$49))/SUM(data!$C$38:$C$49))*100))</f>
        <v/>
      </c>
      <c r="G15" s="56" t="str">
        <f>IF(C15=0,"",TREND(data!$C$2:C59,data!$A$2:A59,data!A60)+TREND(data!$C$2:C59,data!$A$2:A59,data!A61)+SUM(data!$C$50:C59))</f>
        <v/>
      </c>
      <c r="H15" s="60" t="str">
        <f>IF(G15="","",((G15-SUM(data!$C$38:$C$49))/SUM(data!$C$38:$C$49))*100)</f>
        <v/>
      </c>
      <c r="I15" s="32"/>
      <c r="J15" s="33"/>
    </row>
    <row r="16" spans="2:10" x14ac:dyDescent="0.2">
      <c r="B16" s="31">
        <v>44228</v>
      </c>
      <c r="C16" s="73"/>
      <c r="D16" s="53" t="str">
        <f>IF(ISBLANK(C16),"",SUM($C$6:C16))</f>
        <v/>
      </c>
      <c r="E16" s="57" t="str">
        <f>IF(C16=0,"",(AVERAGE(data!C49:C60)*1)+SUM(data!C50:C60))</f>
        <v/>
      </c>
      <c r="F16" s="62" t="str">
        <f>(IF(E16="","",((E16-SUM(data!$C$38:$C$49))/SUM(data!$C$38:$C$49))*100))</f>
        <v/>
      </c>
      <c r="G16" s="57" t="str">
        <f>IF(C16=0,"",TREND(data!$C$2:C60,data!$A$2:A60,data!A61)+SUM(data!$C$50:C60))</f>
        <v/>
      </c>
      <c r="H16" s="60" t="str">
        <f>IF(G16="","",((G16-SUM(data!$C$38:$C$49))/SUM(data!$C$38:$C$49))*100)</f>
        <v/>
      </c>
      <c r="I16" s="32"/>
      <c r="J16" s="33"/>
    </row>
    <row r="17" spans="2:10" x14ac:dyDescent="0.2">
      <c r="B17" s="31">
        <v>44256</v>
      </c>
      <c r="C17" s="74"/>
      <c r="D17" s="54" t="str">
        <f>IF(ISBLANK(C17),"",SUM($C$6:C17))</f>
        <v/>
      </c>
      <c r="E17" s="58"/>
      <c r="F17" s="61" t="str">
        <f>IF(D17="","",((D17-SUM(data!$C$38:$C$49))/SUM(data!$C$38:$C$49))*100)</f>
        <v/>
      </c>
      <c r="G17" s="58"/>
      <c r="H17" s="61" t="str">
        <f>IF(D17="","",((D17-SUM(data!$C$38:$C$49))/SUM(data!$C$38:$C$49))*100)</f>
        <v/>
      </c>
      <c r="I17" s="32"/>
      <c r="J17" s="33"/>
    </row>
    <row r="18" spans="2:10" x14ac:dyDescent="0.2">
      <c r="B18" s="34"/>
      <c r="C18" s="35"/>
      <c r="D18" s="35"/>
      <c r="E18" s="36"/>
      <c r="F18" s="35"/>
      <c r="G18" s="36"/>
      <c r="H18" s="37"/>
      <c r="J18" s="38"/>
    </row>
    <row r="19" spans="2:10" ht="13.5" thickBot="1" x14ac:dyDescent="0.25">
      <c r="B19" s="39" t="s">
        <v>2</v>
      </c>
      <c r="C19" s="39"/>
      <c r="D19" s="40"/>
      <c r="E19" s="41"/>
      <c r="F19" s="42"/>
      <c r="G19" s="42"/>
      <c r="H19" s="40"/>
    </row>
    <row r="23" spans="2:10" x14ac:dyDescent="0.2">
      <c r="C23" s="33"/>
    </row>
    <row r="24" spans="2:10" x14ac:dyDescent="0.2">
      <c r="C24" s="33"/>
    </row>
    <row r="25" spans="2:10" x14ac:dyDescent="0.2">
      <c r="C25" s="33"/>
    </row>
    <row r="26" spans="2:10" x14ac:dyDescent="0.2">
      <c r="C26" s="33"/>
    </row>
    <row r="27" spans="2:10" x14ac:dyDescent="0.2">
      <c r="C27" s="44"/>
    </row>
    <row r="28" spans="2:10" x14ac:dyDescent="0.2">
      <c r="C28" s="45"/>
    </row>
    <row r="29" spans="2:10" x14ac:dyDescent="0.2">
      <c r="C29" s="45"/>
    </row>
    <row r="30" spans="2:10" x14ac:dyDescent="0.2">
      <c r="C30" s="45"/>
    </row>
    <row r="31" spans="2:10" x14ac:dyDescent="0.2">
      <c r="H31" s="46"/>
    </row>
  </sheetData>
  <sheetProtection sheet="1" objects="1" scenarios="1"/>
  <mergeCells count="3">
    <mergeCell ref="E4:F4"/>
    <mergeCell ref="G4:H4"/>
    <mergeCell ref="B2:H2"/>
  </mergeCells>
  <phoneticPr fontId="7" type="noConversion"/>
  <conditionalFormatting sqref="F6:F16 H6:H16">
    <cfRule type="cellIs" dxfId="8" priority="10" stopIfTrue="1" operator="lessThanOrEqual">
      <formula>0</formula>
    </cfRule>
    <cfRule type="cellIs" dxfId="7" priority="11" stopIfTrue="1" operator="between">
      <formula>0</formula>
      <formula>0.05</formula>
    </cfRule>
    <cfRule type="cellIs" dxfId="6" priority="12" stopIfTrue="1" operator="greaterThanOrEqual">
      <formula>0.05</formula>
    </cfRule>
  </conditionalFormatting>
  <conditionalFormatting sqref="H17">
    <cfRule type="cellIs" dxfId="5" priority="4" stopIfTrue="1" operator="lessThanOrEqual">
      <formula>0</formula>
    </cfRule>
    <cfRule type="cellIs" dxfId="4" priority="5" stopIfTrue="1" operator="between">
      <formula>0</formula>
      <formula>0.05</formula>
    </cfRule>
    <cfRule type="cellIs" dxfId="3" priority="6" stopIfTrue="1" operator="greaterThanOrEqual">
      <formula>0.05</formula>
    </cfRule>
  </conditionalFormatting>
  <conditionalFormatting sqref="F17">
    <cfRule type="cellIs" dxfId="2" priority="1" stopIfTrue="1" operator="lessThanOrEqual">
      <formula>0</formula>
    </cfRule>
    <cfRule type="cellIs" dxfId="1" priority="2" stopIfTrue="1" operator="between">
      <formula>0</formula>
      <formula>0.05</formula>
    </cfRule>
    <cfRule type="cellIs" dxfId="0" priority="3" stopIfTrue="1" operator="greaterThanOrEqual">
      <formula>0.05</formula>
    </cfRule>
  </conditionalFormatting>
  <pageMargins left="0.75" right="0.75" top="1" bottom="1" header="0.5" footer="0.5"/>
  <pageSetup paperSize="9" orientation="portrait" r:id="rId1"/>
  <headerFooter alignWithMargins="0"/>
  <ignoredErrors>
    <ignoredError sqref="G6 G7:G16"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zoomScale="97" zoomScaleNormal="97" workbookViewId="0">
      <selection activeCell="J48" sqref="J48"/>
    </sheetView>
  </sheetViews>
  <sheetFormatPr defaultRowHeight="12.75" x14ac:dyDescent="0.2"/>
  <cols>
    <col min="1" max="16384" width="9.140625" style="7"/>
  </cols>
  <sheetData/>
  <sheetProtection sheet="1" objects="1" scenarios="1" selectLockedCells="1" selectUnlockedCells="1"/>
  <phoneticPr fontId="7" type="noConversion"/>
  <pageMargins left="0.75" right="0.75" top="1" bottom="1" header="0.5" footer="0.5"/>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29"/>
  <sheetViews>
    <sheetView workbookViewId="0">
      <selection activeCell="B3" sqref="B3"/>
    </sheetView>
  </sheetViews>
  <sheetFormatPr defaultRowHeight="12.75" x14ac:dyDescent="0.2"/>
  <cols>
    <col min="2" max="2" width="12.7109375" bestFit="1" customWidth="1"/>
    <col min="3" max="3" width="19.5703125" bestFit="1" customWidth="1"/>
    <col min="4" max="4" width="13.42578125" bestFit="1" customWidth="1"/>
    <col min="5" max="5" width="20.85546875" bestFit="1" customWidth="1"/>
    <col min="6" max="6" width="18.140625" bestFit="1" customWidth="1"/>
    <col min="7" max="7" width="22.28515625" bestFit="1" customWidth="1"/>
    <col min="8" max="8" width="18.85546875" customWidth="1"/>
  </cols>
  <sheetData>
    <row r="3" spans="1:10" x14ac:dyDescent="0.2">
      <c r="A3" s="15"/>
      <c r="B3" s="15" t="s">
        <v>5</v>
      </c>
      <c r="C3" s="15" t="s">
        <v>6</v>
      </c>
      <c r="D3" s="15" t="s">
        <v>7</v>
      </c>
      <c r="E3" s="15" t="s">
        <v>3</v>
      </c>
      <c r="F3" s="15" t="s">
        <v>4</v>
      </c>
    </row>
    <row r="4" spans="1:10" x14ac:dyDescent="0.2">
      <c r="A4" s="16">
        <v>43922</v>
      </c>
      <c r="B4" s="75" t="str">
        <f>IF(Forecast!C6="","",Forecast!C6)</f>
        <v/>
      </c>
      <c r="C4" s="75" t="str">
        <f>IF(Forecast!C6="","",Forecast!D6)</f>
        <v/>
      </c>
      <c r="D4" s="75" t="str">
        <f>IF(B4="","",data!D50)</f>
        <v/>
      </c>
      <c r="E4" s="76"/>
      <c r="F4" s="76"/>
      <c r="I4" s="80" t="str">
        <f>IF(B4="","",(C4/$E$15)*100)</f>
        <v/>
      </c>
      <c r="J4" s="80" t="str">
        <f>IF(B4="","",(C4/$F$15)*100)</f>
        <v/>
      </c>
    </row>
    <row r="5" spans="1:10" x14ac:dyDescent="0.2">
      <c r="A5" s="16">
        <v>43952</v>
      </c>
      <c r="B5" s="75" t="str">
        <f>IF(Forecast!C7="","",Forecast!C7)</f>
        <v/>
      </c>
      <c r="C5" s="75" t="str">
        <f>IF(Forecast!C7="","",Forecast!D7)</f>
        <v/>
      </c>
      <c r="D5" s="75" t="str">
        <f>IF(B5="","",data!D51)</f>
        <v/>
      </c>
      <c r="E5" s="76"/>
      <c r="F5" s="76"/>
      <c r="I5" s="80" t="str">
        <f t="shared" ref="I5:I15" si="0">IF(B5="","",(C5/$E$15)*100)</f>
        <v/>
      </c>
      <c r="J5" s="80" t="str">
        <f t="shared" ref="J5:J15" si="1">IF(B5="","",(C5/$F$15)*100)</f>
        <v/>
      </c>
    </row>
    <row r="6" spans="1:10" x14ac:dyDescent="0.2">
      <c r="A6" s="16">
        <v>43983</v>
      </c>
      <c r="B6" s="75" t="str">
        <f>IF(Forecast!C8="","",Forecast!C8)</f>
        <v/>
      </c>
      <c r="C6" s="75" t="str">
        <f>IF(Forecast!C8="","",Forecast!D8)</f>
        <v/>
      </c>
      <c r="D6" s="75" t="str">
        <f>IF(B6="","",data!D52)</f>
        <v/>
      </c>
      <c r="E6" s="76"/>
      <c r="F6" s="76"/>
      <c r="I6" s="80" t="str">
        <f t="shared" si="0"/>
        <v/>
      </c>
      <c r="J6" s="80" t="str">
        <f t="shared" si="1"/>
        <v/>
      </c>
    </row>
    <row r="7" spans="1:10" x14ac:dyDescent="0.2">
      <c r="A7" s="16">
        <v>44013</v>
      </c>
      <c r="B7" s="75" t="str">
        <f>IF(Forecast!C9="","",Forecast!C9)</f>
        <v/>
      </c>
      <c r="C7" s="75" t="str">
        <f>IF(Forecast!C9="","",Forecast!D9)</f>
        <v/>
      </c>
      <c r="D7" s="75" t="str">
        <f>IF(B7="","",data!D53)</f>
        <v/>
      </c>
      <c r="E7" s="76"/>
      <c r="F7" s="76"/>
      <c r="I7" s="80" t="str">
        <f t="shared" si="0"/>
        <v/>
      </c>
      <c r="J7" s="80" t="str">
        <f t="shared" si="1"/>
        <v/>
      </c>
    </row>
    <row r="8" spans="1:10" x14ac:dyDescent="0.2">
      <c r="A8" s="16">
        <v>44044</v>
      </c>
      <c r="B8" s="75" t="str">
        <f>IF(Forecast!C10="","",Forecast!C10)</f>
        <v/>
      </c>
      <c r="C8" s="75" t="str">
        <f>IF(Forecast!C10="","",Forecast!D10)</f>
        <v/>
      </c>
      <c r="D8" s="75" t="str">
        <f>IF(B8="","",data!D54)</f>
        <v/>
      </c>
      <c r="E8" s="76"/>
      <c r="F8" s="76"/>
      <c r="G8" s="48"/>
      <c r="H8" s="48"/>
      <c r="I8" s="80" t="str">
        <f t="shared" si="0"/>
        <v/>
      </c>
      <c r="J8" s="80" t="str">
        <f t="shared" si="1"/>
        <v/>
      </c>
    </row>
    <row r="9" spans="1:10" x14ac:dyDescent="0.2">
      <c r="A9" s="16">
        <v>44075</v>
      </c>
      <c r="B9" s="75" t="str">
        <f>IF(Forecast!C11="","",Forecast!C11)</f>
        <v/>
      </c>
      <c r="C9" s="75" t="str">
        <f>IF(Forecast!C11="","",Forecast!D11)</f>
        <v/>
      </c>
      <c r="D9" s="75" t="str">
        <f>IF(B9="","",data!D55)</f>
        <v/>
      </c>
      <c r="E9" s="76"/>
      <c r="F9" s="76"/>
      <c r="G9" s="48"/>
      <c r="H9" s="48"/>
      <c r="I9" s="80" t="str">
        <f t="shared" si="0"/>
        <v/>
      </c>
      <c r="J9" s="80" t="str">
        <f t="shared" si="1"/>
        <v/>
      </c>
    </row>
    <row r="10" spans="1:10" x14ac:dyDescent="0.2">
      <c r="A10" s="16">
        <v>44105</v>
      </c>
      <c r="B10" s="75" t="str">
        <f>IF(Forecast!C12="","",Forecast!C12)</f>
        <v/>
      </c>
      <c r="C10" s="75" t="str">
        <f>IF(Forecast!C12="","",Forecast!D12)</f>
        <v/>
      </c>
      <c r="D10" s="75" t="str">
        <f>IF(B10="","",data!D56)</f>
        <v/>
      </c>
      <c r="E10" s="76"/>
      <c r="F10" s="76"/>
      <c r="G10" s="48"/>
      <c r="H10" s="48"/>
      <c r="I10" s="80" t="str">
        <f t="shared" si="0"/>
        <v/>
      </c>
      <c r="J10" s="80" t="str">
        <f t="shared" si="1"/>
        <v/>
      </c>
    </row>
    <row r="11" spans="1:10" x14ac:dyDescent="0.2">
      <c r="A11" s="16">
        <v>44136</v>
      </c>
      <c r="B11" s="75" t="str">
        <f>IF(Forecast!C13="","",Forecast!C13)</f>
        <v/>
      </c>
      <c r="C11" s="75" t="str">
        <f>IF(Forecast!C13="","",Forecast!D13)</f>
        <v/>
      </c>
      <c r="D11" s="75" t="str">
        <f>IF(B11="","",data!D57)</f>
        <v/>
      </c>
      <c r="E11" s="76"/>
      <c r="F11" s="76"/>
      <c r="G11" s="48"/>
      <c r="H11" s="48"/>
      <c r="I11" s="80" t="str">
        <f t="shared" si="0"/>
        <v/>
      </c>
      <c r="J11" s="80" t="str">
        <f t="shared" si="1"/>
        <v/>
      </c>
    </row>
    <row r="12" spans="1:10" x14ac:dyDescent="0.2">
      <c r="A12" s="16">
        <v>44166</v>
      </c>
      <c r="B12" s="75" t="str">
        <f>IF(Forecast!C14="","",Forecast!C14)</f>
        <v/>
      </c>
      <c r="C12" s="75" t="str">
        <f>IF(Forecast!C14="","",Forecast!D14)</f>
        <v/>
      </c>
      <c r="D12" s="75" t="str">
        <f>IF(B12="","",data!D58)</f>
        <v/>
      </c>
      <c r="E12" s="76"/>
      <c r="F12" s="76"/>
      <c r="G12" s="48"/>
      <c r="H12" s="48"/>
      <c r="I12" s="80" t="str">
        <f t="shared" si="0"/>
        <v/>
      </c>
      <c r="J12" s="80" t="str">
        <f t="shared" si="1"/>
        <v/>
      </c>
    </row>
    <row r="13" spans="1:10" x14ac:dyDescent="0.2">
      <c r="A13" s="16">
        <v>44197</v>
      </c>
      <c r="B13" s="75" t="str">
        <f>IF(Forecast!C15="","",Forecast!C15)</f>
        <v/>
      </c>
      <c r="C13" s="75" t="str">
        <f>IF(Forecast!C15="","",Forecast!D15)</f>
        <v/>
      </c>
      <c r="D13" s="75" t="str">
        <f>IF(B13="","",data!D59)</f>
        <v/>
      </c>
      <c r="E13" s="76"/>
      <c r="F13" s="76"/>
      <c r="G13" s="48"/>
      <c r="H13" s="48"/>
      <c r="I13" s="80" t="str">
        <f t="shared" si="0"/>
        <v/>
      </c>
      <c r="J13" s="80" t="str">
        <f t="shared" si="1"/>
        <v/>
      </c>
    </row>
    <row r="14" spans="1:10" x14ac:dyDescent="0.2">
      <c r="A14" s="16">
        <v>44228</v>
      </c>
      <c r="B14" s="75" t="str">
        <f>IF(Forecast!C16="","",Forecast!C16)</f>
        <v/>
      </c>
      <c r="C14" s="75" t="str">
        <f>IF(Forecast!C16="","",Forecast!D16)</f>
        <v/>
      </c>
      <c r="D14" s="75" t="str">
        <f>IF(B14="","",data!D60)</f>
        <v/>
      </c>
      <c r="E14" s="76"/>
      <c r="F14" s="76"/>
      <c r="G14" s="49" t="s">
        <v>12</v>
      </c>
      <c r="H14" s="49" t="s">
        <v>13</v>
      </c>
      <c r="I14" s="80" t="str">
        <f t="shared" si="0"/>
        <v/>
      </c>
      <c r="J14" s="80" t="str">
        <f t="shared" si="1"/>
        <v/>
      </c>
    </row>
    <row r="15" spans="1:10" ht="12.75" customHeight="1" x14ac:dyDescent="0.2">
      <c r="A15" s="16">
        <v>44256</v>
      </c>
      <c r="B15" s="75" t="str">
        <f>IF(Forecast!C17="","",Forecast!C17)</f>
        <v/>
      </c>
      <c r="C15" s="75" t="str">
        <f>IF(Forecast!C17="","",Forecast!D17)</f>
        <v/>
      </c>
      <c r="D15" s="75" t="str">
        <f>IF(B15="","",data!D61)</f>
        <v/>
      </c>
      <c r="E15" s="77" t="e">
        <f>IF(C15="",INDEX(Forecast!E6:E17,COUNTA(Forecast!E6:E17)-COUNTIF(Forecast!E6:E17,"")),"")</f>
        <v>#VALUE!</v>
      </c>
      <c r="F15" s="77" t="e">
        <f>IF(D15="",INDEX(Forecast!G6:G17,COUNTA(Forecast!G6:G17)-COUNTIF(Forecast!G6:G17,"")),"")</f>
        <v>#VALUE!</v>
      </c>
      <c r="G15" s="79">
        <f>IF(C15="",MAX(I4:I14),1)</f>
        <v>0</v>
      </c>
      <c r="H15" s="79">
        <f>IF(D15="",MAX(J4:J14),1)</f>
        <v>0</v>
      </c>
      <c r="I15" s="80" t="str">
        <f t="shared" si="0"/>
        <v/>
      </c>
      <c r="J15" s="80" t="str">
        <f t="shared" si="1"/>
        <v/>
      </c>
    </row>
    <row r="16" spans="1:10" ht="12.75" customHeight="1" x14ac:dyDescent="0.2">
      <c r="E16" s="14"/>
      <c r="G16" s="81">
        <v>100</v>
      </c>
      <c r="H16" s="81">
        <v>100</v>
      </c>
    </row>
    <row r="17" spans="1:8" x14ac:dyDescent="0.2">
      <c r="A17" s="15"/>
      <c r="B17" s="15" t="s">
        <v>8</v>
      </c>
      <c r="C17" s="15" t="s">
        <v>21</v>
      </c>
      <c r="D17" s="15" t="s">
        <v>9</v>
      </c>
      <c r="E17" s="15" t="s">
        <v>10</v>
      </c>
      <c r="F17" s="15"/>
      <c r="G17" s="15"/>
    </row>
    <row r="18" spans="1:8" x14ac:dyDescent="0.2">
      <c r="A18" s="16">
        <v>43922</v>
      </c>
      <c r="B18" s="78" t="str">
        <f>IF(Forecast!C6="","",((data!D50-data!D38)/data!D38)*100)</f>
        <v/>
      </c>
      <c r="C18" s="78" t="str">
        <f>IF(Forecast!C6="","",((data!D50-data!D$49)/data!D$49)*100)</f>
        <v/>
      </c>
      <c r="D18" s="18" t="str">
        <f>IF(Forecast!C20="","",Forecast!D20)</f>
        <v/>
      </c>
      <c r="E18" s="18"/>
      <c r="F18" s="19"/>
      <c r="G18" s="19"/>
    </row>
    <row r="19" spans="1:8" x14ac:dyDescent="0.2">
      <c r="A19" s="16">
        <v>43952</v>
      </c>
      <c r="B19" s="78" t="str">
        <f>IF(Forecast!C7="","",((data!D51-data!D39)/data!D39)*100)</f>
        <v/>
      </c>
      <c r="C19" s="78" t="str">
        <f>IF(Forecast!C7="","",((data!D51-data!D$49)/data!D$49)*100)</f>
        <v/>
      </c>
      <c r="D19" s="18" t="str">
        <f>IF(Forecast!C21="","",Forecast!D21)</f>
        <v/>
      </c>
      <c r="E19" s="18"/>
      <c r="F19" s="19"/>
      <c r="G19" s="19"/>
    </row>
    <row r="20" spans="1:8" x14ac:dyDescent="0.2">
      <c r="A20" s="16">
        <v>43983</v>
      </c>
      <c r="B20" s="78" t="str">
        <f>IF(Forecast!C8="","",((data!D52-data!D40)/data!D40)*100)</f>
        <v/>
      </c>
      <c r="C20" s="78" t="str">
        <f>IF(Forecast!C8="","",((data!D52-data!D$49)/data!D$49)*100)</f>
        <v/>
      </c>
      <c r="D20" s="18" t="str">
        <f>IF(Forecast!C22="","",Forecast!D22)</f>
        <v/>
      </c>
      <c r="E20" s="18"/>
      <c r="F20" s="19"/>
      <c r="G20" s="19"/>
    </row>
    <row r="21" spans="1:8" x14ac:dyDescent="0.2">
      <c r="A21" s="16">
        <v>44013</v>
      </c>
      <c r="B21" s="78" t="str">
        <f>IF(Forecast!C9="","",((data!D53-data!D41)/data!D41)*100)</f>
        <v/>
      </c>
      <c r="C21" s="78" t="str">
        <f>IF(Forecast!C9="","",((data!D53-data!D$49)/data!D$49)*100)</f>
        <v/>
      </c>
      <c r="D21" s="18" t="str">
        <f>IF(Forecast!C23="","",Forecast!D23)</f>
        <v/>
      </c>
      <c r="E21" s="18"/>
      <c r="F21" s="19"/>
      <c r="G21" s="19"/>
    </row>
    <row r="22" spans="1:8" x14ac:dyDescent="0.2">
      <c r="A22" s="16">
        <v>44044</v>
      </c>
      <c r="B22" s="78" t="str">
        <f>IF(Forecast!C10="","",((data!D54-data!D42)/data!D42)*100)</f>
        <v/>
      </c>
      <c r="C22" s="78" t="str">
        <f>IF(Forecast!C10="","",((data!D54-data!D$49)/data!D$49)*100)</f>
        <v/>
      </c>
      <c r="D22" s="18" t="str">
        <f>IF(Forecast!C24="","",Forecast!D24)</f>
        <v/>
      </c>
      <c r="E22" s="18"/>
      <c r="F22" s="19"/>
      <c r="G22" s="19"/>
    </row>
    <row r="23" spans="1:8" x14ac:dyDescent="0.2">
      <c r="A23" s="16">
        <v>44075</v>
      </c>
      <c r="B23" s="78" t="str">
        <f>IF(Forecast!C11="","",((data!D55-data!D43)/data!D43)*100)</f>
        <v/>
      </c>
      <c r="C23" s="78" t="str">
        <f>IF(Forecast!C11="","",((data!D55-data!D$49)/data!D$49)*100)</f>
        <v/>
      </c>
      <c r="D23" s="18" t="str">
        <f>IF(Forecast!C25="","",Forecast!D25)</f>
        <v/>
      </c>
      <c r="E23" s="18"/>
      <c r="F23" s="19"/>
      <c r="G23" s="19"/>
      <c r="H23" s="47" t="s">
        <v>11</v>
      </c>
    </row>
    <row r="24" spans="1:8" x14ac:dyDescent="0.2">
      <c r="A24" s="16">
        <v>44105</v>
      </c>
      <c r="B24" s="78" t="str">
        <f>IF(Forecast!C12="","",((data!D56-data!D44)/data!D44)*100)</f>
        <v/>
      </c>
      <c r="C24" s="78" t="str">
        <f>IF(Forecast!C12="","",((data!D56-data!D$49)/data!D$49)*100)</f>
        <v/>
      </c>
      <c r="D24" s="18" t="str">
        <f>IF(Forecast!C26="","",Forecast!D26)</f>
        <v/>
      </c>
      <c r="E24" s="18"/>
      <c r="F24" s="19"/>
      <c r="G24" s="19"/>
    </row>
    <row r="25" spans="1:8" x14ac:dyDescent="0.2">
      <c r="A25" s="16">
        <v>44136</v>
      </c>
      <c r="B25" s="78" t="str">
        <f>IF(Forecast!C13="","",((data!D57-data!D45)/data!D45)*100)</f>
        <v/>
      </c>
      <c r="C25" s="78" t="str">
        <f>IF(Forecast!C13="","",((data!D57-data!D$49)/data!D$49)*100)</f>
        <v/>
      </c>
      <c r="D25" s="18" t="str">
        <f>IF(Forecast!C27="","",Forecast!D27)</f>
        <v/>
      </c>
      <c r="E25" s="18"/>
      <c r="F25" s="19"/>
      <c r="G25" s="19"/>
    </row>
    <row r="26" spans="1:8" x14ac:dyDescent="0.2">
      <c r="A26" s="16">
        <v>44166</v>
      </c>
      <c r="B26" s="78" t="str">
        <f>IF(Forecast!C14="","",((data!D58-data!D46)/data!D46)*100)</f>
        <v/>
      </c>
      <c r="C26" s="78" t="str">
        <f>IF(Forecast!C14="","",((data!D58-data!D$49)/data!D$49)*100)</f>
        <v/>
      </c>
      <c r="D26" s="18" t="str">
        <f>IF(Forecast!C28="","",Forecast!D28)</f>
        <v/>
      </c>
      <c r="E26" s="18"/>
      <c r="F26" s="19"/>
      <c r="G26" s="19"/>
    </row>
    <row r="27" spans="1:8" x14ac:dyDescent="0.2">
      <c r="A27" s="16">
        <v>44197</v>
      </c>
      <c r="B27" s="78" t="str">
        <f>IF(Forecast!C15="","",((data!D59-data!D47)/data!D47)*100)</f>
        <v/>
      </c>
      <c r="C27" s="78" t="str">
        <f>IF(Forecast!C15="","",((data!D59-data!D$49)/data!D$49)*100)</f>
        <v/>
      </c>
      <c r="D27" s="18" t="str">
        <f>IF(Forecast!C29="","",Forecast!D29)</f>
        <v/>
      </c>
      <c r="E27" s="18"/>
      <c r="F27" s="19"/>
      <c r="G27" s="19"/>
    </row>
    <row r="28" spans="1:8" x14ac:dyDescent="0.2">
      <c r="A28" s="16">
        <v>44228</v>
      </c>
      <c r="B28" s="78" t="str">
        <f>IF(Forecast!C16="","",((data!D60-data!D48)/data!D48)*100)</f>
        <v/>
      </c>
      <c r="C28" s="78" t="str">
        <f>IF(Forecast!C16="","",((data!D60-data!D$49)/data!D$49)*100)</f>
        <v/>
      </c>
      <c r="D28" s="18" t="str">
        <f>IF(Forecast!C30="","",Forecast!D30)</f>
        <v/>
      </c>
      <c r="E28" s="18"/>
      <c r="F28" s="19"/>
      <c r="G28" s="19"/>
    </row>
    <row r="29" spans="1:8" x14ac:dyDescent="0.2">
      <c r="A29" s="16">
        <v>44256</v>
      </c>
      <c r="B29" s="78" t="str">
        <f>IF(Forecast!C17="","",((data!D61-data!D49)/data!D49)*100)</f>
        <v/>
      </c>
      <c r="C29" s="78" t="str">
        <f>IF(Forecast!C17="","",((data!D61-data!D$49)/data!D$49)*100)</f>
        <v/>
      </c>
      <c r="D29" s="79" t="e">
        <f>IF(B29="",INDEX(Forecast!F6:F17,COUNTA(Forecast!F6:F17)-COUNTIF(Forecast!F6:F17,"")),"")</f>
        <v>#VALUE!</v>
      </c>
      <c r="E29" s="79" t="e">
        <f>IF(C29="",INDEX(Forecast!H6:H17,COUNTA(Forecast!H6:H17)-COUNTIF(Forecast!H6:H17,"")),"")</f>
        <v>#VALUE!</v>
      </c>
      <c r="F29" s="17"/>
      <c r="G29" s="1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data</vt:lpstr>
      <vt:lpstr>Forecast</vt:lpstr>
      <vt:lpstr>charts</vt:lpstr>
      <vt:lpstr>Sheet1</vt:lpstr>
    </vt:vector>
  </TitlesOfParts>
  <Company>Prescription Pricing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Alun Carter</dc:creator>
  <cp:lastModifiedBy>Ann Adamson</cp:lastModifiedBy>
  <cp:lastPrinted>2007-03-09T14:19:31Z</cp:lastPrinted>
  <dcterms:created xsi:type="dcterms:W3CDTF">2004-12-15T11:57:17Z</dcterms:created>
  <dcterms:modified xsi:type="dcterms:W3CDTF">2020-07-21T08:38:08Z</dcterms:modified>
</cp:coreProperties>
</file>