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healthsharedservice.sharepoint.com/sites/sfnhs-gf/sysfin/Activity and Productivity/Prescribing Model/New Prescribing Model 2526/"/>
    </mc:Choice>
  </mc:AlternateContent>
  <xr:revisionPtr revIDLastSave="398" documentId="8_{414870AF-B6D8-4E4D-9FB0-6919DA872FFD}" xr6:coauthVersionLast="47" xr6:coauthVersionMax="47" xr10:uidLastSave="{C0B777DB-14F1-4F81-9CF4-61D3AA13F2F3}"/>
  <bookViews>
    <workbookView xWindow="-23148" yWindow="-6312" windowWidth="23256" windowHeight="12576" firstSheet="7" activeTab="11" xr2:uid="{00000000-000D-0000-FFFF-FFFF00000000}"/>
  </bookViews>
  <sheets>
    <sheet name="Notes" sheetId="31" r:id="rId1"/>
    <sheet name="UserQA" sheetId="35" r:id="rId2"/>
    <sheet name="ChangeLog" sheetId="36" r:id="rId3"/>
    <sheet name="OUTPUTS --&gt;" sheetId="33" r:id="rId4"/>
    <sheet name="Output Profile" sheetId="29" r:id="rId5"/>
    <sheet name="Forecasting" sheetId="28" r:id="rId6"/>
    <sheet name="CALCULATIONS --&gt;" sheetId="32" r:id="rId7"/>
    <sheet name="Uplift Average to Latest Year" sheetId="34" r:id="rId8"/>
    <sheet name="Policy - updated" sheetId="27" r:id="rId9"/>
    <sheet name="CalculateAverages" sheetId="21" r:id="rId10"/>
    <sheet name="INPUTS -- &gt;" sheetId="30" r:id="rId11"/>
    <sheet name="Data" sheetId="1" r:id="rId12"/>
    <sheet name="Dispensing Days" sheetId="5" r:id="rId13"/>
    <sheet name="Test" sheetId="26" state="hidden" r:id="rId14"/>
    <sheet name="Policy - not updated" sheetId="24" state="hidden" r:id="rId15"/>
  </sheets>
  <externalReferences>
    <externalReference r:id="rId16"/>
  </externalReferences>
  <definedNames>
    <definedName name="DDMonth" localSheetId="14">'[1]Dispensing Days'!$A$3:$A$15</definedName>
    <definedName name="DDMonth">'Dispensing Days'!$A$3:$A$15</definedName>
    <definedName name="DDYear" localSheetId="14">'[1]Dispensing Days'!$A$3:$M$3</definedName>
    <definedName name="DDYear">'Dispensing Days'!$A$3:$V$3</definedName>
    <definedName name="DispensingDays" localSheetId="14">'[1]Dispensing Days'!$A$3:$M$15</definedName>
    <definedName name="DispensingDays">'Dispensing Days'!$A$3:$V$15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29" l="1"/>
  <c r="K9" i="29"/>
  <c r="K4" i="29"/>
  <c r="K5" i="29"/>
  <c r="K6" i="29"/>
  <c r="K7" i="29"/>
  <c r="K8" i="29"/>
  <c r="K10" i="29"/>
  <c r="K12" i="29"/>
  <c r="K13" i="29"/>
  <c r="K14" i="29"/>
  <c r="G4" i="29"/>
  <c r="G5" i="29"/>
  <c r="G6" i="29"/>
  <c r="G7" i="29"/>
  <c r="G8" i="29"/>
  <c r="G9" i="29"/>
  <c r="G10" i="29"/>
  <c r="G11" i="29"/>
  <c r="G12" i="29"/>
  <c r="G13" i="29"/>
  <c r="G14" i="29"/>
  <c r="D4" i="28"/>
  <c r="C10" i="34"/>
  <c r="D10" i="34"/>
  <c r="D5" i="34"/>
  <c r="C8" i="34"/>
  <c r="C7" i="34"/>
  <c r="C6" i="34"/>
  <c r="C5" i="34"/>
  <c r="C4" i="34"/>
  <c r="D64" i="21"/>
  <c r="D4" i="21"/>
  <c r="D63" i="21"/>
  <c r="H7" i="1" l="1"/>
  <c r="H24" i="1" l="1"/>
  <c r="H25" i="1"/>
  <c r="H26" i="1"/>
  <c r="H27" i="1"/>
  <c r="H28" i="1"/>
  <c r="H29" i="1"/>
  <c r="H30" i="1"/>
  <c r="H31" i="1"/>
  <c r="H32" i="1"/>
  <c r="H33" i="1"/>
  <c r="H34" i="1"/>
  <c r="H35" i="1"/>
  <c r="F56" i="27"/>
  <c r="E56" i="27"/>
  <c r="B7" i="34" l="1"/>
  <c r="B8" i="34" l="1"/>
  <c r="B6" i="34"/>
  <c r="B5" i="34"/>
  <c r="B4" i="34"/>
  <c r="C64" i="21" l="1"/>
  <c r="D49" i="27"/>
  <c r="D48" i="27"/>
  <c r="D47" i="27"/>
  <c r="D46" i="27"/>
  <c r="D45" i="27"/>
  <c r="D44" i="27"/>
  <c r="D43" i="27"/>
  <c r="D42" i="27"/>
  <c r="D41" i="27"/>
  <c r="D40" i="27"/>
  <c r="D39" i="27"/>
  <c r="C38" i="27"/>
  <c r="C37" i="27"/>
  <c r="C36" i="27"/>
  <c r="C35" i="27"/>
  <c r="C34" i="27"/>
  <c r="D31" i="27"/>
  <c r="D30" i="27"/>
  <c r="D29" i="27"/>
  <c r="D28" i="27"/>
  <c r="C26" i="27"/>
  <c r="D26" i="27" s="1"/>
  <c r="D25" i="27"/>
  <c r="D24" i="27"/>
  <c r="D23" i="27"/>
  <c r="D22" i="27"/>
  <c r="C21" i="27"/>
  <c r="D21" i="27" s="1"/>
  <c r="D20" i="27"/>
  <c r="D19" i="27"/>
  <c r="D18" i="27"/>
  <c r="D17" i="27"/>
  <c r="D16" i="27"/>
  <c r="D15" i="27"/>
  <c r="D14" i="27"/>
  <c r="D13" i="27"/>
  <c r="D12" i="27"/>
  <c r="D11" i="27"/>
  <c r="D10" i="27"/>
  <c r="D9" i="27"/>
  <c r="D8" i="27"/>
  <c r="C7" i="27"/>
  <c r="D7" i="27" s="1"/>
  <c r="D6" i="27"/>
  <c r="D5" i="27"/>
  <c r="E55" i="27" l="1"/>
  <c r="F55" i="27" s="1"/>
  <c r="E54" i="27"/>
  <c r="F54" i="27" s="1"/>
  <c r="E51" i="27"/>
  <c r="F51" i="27" s="1"/>
  <c r="E53" i="27"/>
  <c r="F53" i="27" s="1"/>
  <c r="E48" i="27"/>
  <c r="F48" i="27" s="1"/>
  <c r="E49" i="27"/>
  <c r="F49" i="27" s="1"/>
  <c r="E50" i="27"/>
  <c r="F50" i="27" s="1"/>
  <c r="E52" i="27"/>
  <c r="F52" i="27" s="1"/>
  <c r="E32" i="27"/>
  <c r="F32" i="27" s="1"/>
  <c r="E34" i="27"/>
  <c r="F34" i="27" s="1"/>
  <c r="E38" i="27"/>
  <c r="F38" i="27" s="1"/>
  <c r="E42" i="27"/>
  <c r="F42" i="27" s="1"/>
  <c r="E46" i="27"/>
  <c r="F46" i="27" s="1"/>
  <c r="E35" i="27"/>
  <c r="F35" i="27" s="1"/>
  <c r="E39" i="27"/>
  <c r="F39" i="27" s="1"/>
  <c r="E43" i="27"/>
  <c r="F43" i="27" s="1"/>
  <c r="E47" i="27"/>
  <c r="F47" i="27" s="1"/>
  <c r="E31" i="27"/>
  <c r="F31" i="27" s="1"/>
  <c r="E36" i="27"/>
  <c r="F36" i="27" s="1"/>
  <c r="E40" i="27"/>
  <c r="F40" i="27" s="1"/>
  <c r="E44" i="27"/>
  <c r="F44" i="27" s="1"/>
  <c r="E33" i="27"/>
  <c r="F33" i="27" s="1"/>
  <c r="E37" i="27"/>
  <c r="F37" i="27" s="1"/>
  <c r="E41" i="27"/>
  <c r="F41" i="27" s="1"/>
  <c r="E45" i="27"/>
  <c r="F45" i="27" s="1"/>
  <c r="A4" i="21" l="1"/>
  <c r="B20" i="29"/>
  <c r="A5" i="21" l="1"/>
  <c r="A6" i="21" s="1"/>
  <c r="A7" i="21" s="1"/>
  <c r="A8" i="21" s="1"/>
  <c r="A9" i="21" s="1"/>
  <c r="A10" i="21" s="1"/>
  <c r="A11" i="21" s="1"/>
  <c r="A12" i="21" s="1"/>
  <c r="A13" i="21" s="1"/>
  <c r="A14" i="21" s="1"/>
  <c r="A15" i="21" s="1"/>
  <c r="B3" i="28"/>
  <c r="B2" i="29"/>
  <c r="F2" i="29" s="1"/>
  <c r="J2" i="29" s="1"/>
  <c r="C4" i="28" l="1"/>
  <c r="C5" i="28"/>
  <c r="C6" i="28"/>
  <c r="C7" i="28"/>
  <c r="C8" i="28"/>
  <c r="C9" i="28"/>
  <c r="C10" i="28"/>
  <c r="C11" i="28"/>
  <c r="C12" i="28"/>
  <c r="C13" i="28"/>
  <c r="C14" i="28"/>
  <c r="C15" i="28"/>
  <c r="C65" i="21" l="1"/>
  <c r="C66" i="21"/>
  <c r="C67" i="21"/>
  <c r="C68" i="21"/>
  <c r="C69" i="21"/>
  <c r="C70" i="21"/>
  <c r="C71" i="21"/>
  <c r="C72" i="21"/>
  <c r="C73" i="21"/>
  <c r="C74" i="21"/>
  <c r="C75" i="21"/>
  <c r="G30" i="26" l="1"/>
  <c r="G29" i="26"/>
  <c r="G28" i="26"/>
  <c r="G27" i="26"/>
  <c r="D6" i="24" l="1"/>
  <c r="D7" i="24"/>
  <c r="C8" i="24"/>
  <c r="D8" i="24" s="1"/>
  <c r="D9" i="24"/>
  <c r="D10" i="24"/>
  <c r="D11" i="24"/>
  <c r="D12" i="24"/>
  <c r="D13" i="24"/>
  <c r="D14" i="24"/>
  <c r="D15" i="24"/>
  <c r="D16" i="24"/>
  <c r="D17" i="24"/>
  <c r="D18" i="24"/>
  <c r="D19" i="24"/>
  <c r="D20" i="24"/>
  <c r="D21" i="24"/>
  <c r="D22" i="24"/>
  <c r="D23" i="24"/>
  <c r="D25" i="24"/>
  <c r="C4" i="21" l="1"/>
  <c r="C16" i="21"/>
  <c r="A64" i="21"/>
  <c r="C5" i="21"/>
  <c r="C17" i="21"/>
  <c r="C6" i="21"/>
  <c r="C18" i="21"/>
  <c r="C7" i="21"/>
  <c r="C19" i="21"/>
  <c r="C8" i="21"/>
  <c r="C20" i="21"/>
  <c r="C9" i="21"/>
  <c r="C21" i="21"/>
  <c r="C10" i="21"/>
  <c r="C22" i="21"/>
  <c r="C11" i="21"/>
  <c r="C12" i="21"/>
  <c r="C13" i="21"/>
  <c r="C14" i="21"/>
  <c r="C15" i="21"/>
  <c r="A16" i="21"/>
  <c r="A28" i="21"/>
  <c r="A40" i="21"/>
  <c r="A52" i="21"/>
  <c r="A53" i="21" s="1"/>
  <c r="A54" i="21" s="1"/>
  <c r="A55" i="21" s="1"/>
  <c r="A56" i="21" s="1"/>
  <c r="A57" i="21" s="1"/>
  <c r="A58" i="21" s="1"/>
  <c r="A59" i="21" s="1"/>
  <c r="A60" i="21" s="1"/>
  <c r="A61" i="21" s="1"/>
  <c r="A62" i="21" s="1"/>
  <c r="A63" i="21" s="1"/>
  <c r="H8" i="1"/>
  <c r="H9" i="1"/>
  <c r="H10" i="1"/>
  <c r="H11" i="1"/>
  <c r="H12" i="1"/>
  <c r="H13" i="1"/>
  <c r="H14" i="1"/>
  <c r="H15" i="1"/>
  <c r="H16" i="1"/>
  <c r="H17" i="1"/>
  <c r="H18" i="1"/>
  <c r="D3" i="1" l="1"/>
  <c r="G64" i="21"/>
  <c r="D71" i="21"/>
  <c r="E71" i="21" s="1"/>
  <c r="D41" i="21"/>
  <c r="A41" i="21"/>
  <c r="A42" i="21" s="1"/>
  <c r="A43" i="21" s="1"/>
  <c r="A44" i="21" s="1"/>
  <c r="A45" i="21" s="1"/>
  <c r="A46" i="21" s="1"/>
  <c r="A47" i="21" s="1"/>
  <c r="A48" i="21" s="1"/>
  <c r="A49" i="21" s="1"/>
  <c r="A50" i="21" s="1"/>
  <c r="A51" i="21" s="1"/>
  <c r="D28" i="21"/>
  <c r="A29" i="21"/>
  <c r="E64" i="21"/>
  <c r="A65" i="21"/>
  <c r="A66" i="21" s="1"/>
  <c r="A67" i="21" s="1"/>
  <c r="A68" i="21" s="1"/>
  <c r="A69" i="21" s="1"/>
  <c r="A70" i="21" s="1"/>
  <c r="A71" i="21" s="1"/>
  <c r="A72" i="21" s="1"/>
  <c r="A73" i="21" s="1"/>
  <c r="A74" i="21" s="1"/>
  <c r="A75" i="21" s="1"/>
  <c r="D16" i="21"/>
  <c r="E16" i="21" s="1"/>
  <c r="A17" i="21"/>
  <c r="A18" i="21" s="1"/>
  <c r="A19" i="21" s="1"/>
  <c r="A20" i="21" s="1"/>
  <c r="A21" i="21" s="1"/>
  <c r="A22" i="21" s="1"/>
  <c r="A23" i="21" s="1"/>
  <c r="A24" i="21" s="1"/>
  <c r="A25" i="21" s="1"/>
  <c r="A26" i="21" s="1"/>
  <c r="A27" i="21" s="1"/>
  <c r="E4" i="21"/>
  <c r="D44" i="21"/>
  <c r="D68" i="21"/>
  <c r="E68" i="21" s="1"/>
  <c r="D66" i="21"/>
  <c r="E66" i="21" s="1"/>
  <c r="D73" i="21"/>
  <c r="E73" i="21" s="1"/>
  <c r="D69" i="21"/>
  <c r="E69" i="21" s="1"/>
  <c r="D75" i="21"/>
  <c r="E75" i="21" s="1"/>
  <c r="D67" i="21"/>
  <c r="E67" i="21" s="1"/>
  <c r="D74" i="21"/>
  <c r="E74" i="21" s="1"/>
  <c r="D65" i="21"/>
  <c r="E65" i="21" s="1"/>
  <c r="D70" i="21"/>
  <c r="E70" i="21" s="1"/>
  <c r="D72" i="21"/>
  <c r="E72" i="21" s="1"/>
  <c r="D53" i="21"/>
  <c r="D60" i="21"/>
  <c r="D62" i="21"/>
  <c r="D57" i="21"/>
  <c r="D58" i="21"/>
  <c r="D61" i="21"/>
  <c r="D59" i="21"/>
  <c r="D29" i="21"/>
  <c r="D40" i="21"/>
  <c r="D13" i="21"/>
  <c r="E13" i="21" s="1"/>
  <c r="D5" i="21"/>
  <c r="E5" i="21" s="1"/>
  <c r="D27" i="21"/>
  <c r="D26" i="21"/>
  <c r="D25" i="21"/>
  <c r="D37" i="21"/>
  <c r="D22" i="21"/>
  <c r="E22" i="21" s="1"/>
  <c r="D23" i="21"/>
  <c r="D35" i="21"/>
  <c r="D21" i="21"/>
  <c r="E21" i="21" s="1"/>
  <c r="D56" i="21"/>
  <c r="D19" i="21"/>
  <c r="E19" i="21" s="1"/>
  <c r="D52" i="21"/>
  <c r="D18" i="21"/>
  <c r="E18" i="21" s="1"/>
  <c r="D9" i="21"/>
  <c r="E9" i="21" s="1"/>
  <c r="D11" i="21"/>
  <c r="E11" i="21" s="1"/>
  <c r="D15" i="21"/>
  <c r="E15" i="21" s="1"/>
  <c r="D7" i="21"/>
  <c r="E7" i="21" s="1"/>
  <c r="D17" i="21"/>
  <c r="E17" i="21" s="1"/>
  <c r="D24" i="21"/>
  <c r="D20" i="21"/>
  <c r="E20" i="21" s="1"/>
  <c r="D33" i="21"/>
  <c r="D39" i="21"/>
  <c r="D31" i="21"/>
  <c r="D48" i="21"/>
  <c r="D14" i="21"/>
  <c r="E14" i="21" s="1"/>
  <c r="D10" i="21"/>
  <c r="E10" i="21" s="1"/>
  <c r="D6" i="21"/>
  <c r="E6" i="21" s="1"/>
  <c r="D12" i="21"/>
  <c r="E12" i="21" s="1"/>
  <c r="D8" i="21"/>
  <c r="E8" i="21" s="1"/>
  <c r="D38" i="21"/>
  <c r="D34" i="21"/>
  <c r="D30" i="21"/>
  <c r="D36" i="21"/>
  <c r="D32" i="21"/>
  <c r="D50" i="21"/>
  <c r="D46" i="21"/>
  <c r="D42" i="21"/>
  <c r="D51" i="21"/>
  <c r="D47" i="21"/>
  <c r="D43" i="21"/>
  <c r="D49" i="21"/>
  <c r="D45" i="21"/>
  <c r="D54" i="21"/>
  <c r="D55" i="21"/>
  <c r="C23" i="21" l="1"/>
  <c r="E23" i="21" s="1"/>
  <c r="C24" i="21"/>
  <c r="E24" i="21" s="1"/>
  <c r="C25" i="21"/>
  <c r="E25" i="21" s="1"/>
  <c r="C26" i="21" l="1"/>
  <c r="E26" i="21" s="1"/>
  <c r="C27" i="21" l="1"/>
  <c r="E27" i="21" s="1"/>
  <c r="C28" i="21"/>
  <c r="E28" i="21" s="1"/>
  <c r="C29" i="21"/>
  <c r="E29" i="21" s="1"/>
  <c r="C30" i="21"/>
  <c r="E30" i="21" s="1"/>
  <c r="C31" i="21"/>
  <c r="E31" i="21" s="1"/>
  <c r="C32" i="21"/>
  <c r="E32" i="21" s="1"/>
  <c r="C33" i="21"/>
  <c r="E33" i="21" s="1"/>
  <c r="C34" i="21" l="1"/>
  <c r="E34" i="21" s="1"/>
  <c r="C35" i="21" l="1"/>
  <c r="E35" i="21" s="1"/>
  <c r="C36" i="21"/>
  <c r="E36" i="21" s="1"/>
  <c r="C37" i="21" l="1"/>
  <c r="E37" i="21" s="1"/>
  <c r="C38" i="21" l="1"/>
  <c r="E38" i="21" s="1"/>
  <c r="C39" i="21"/>
  <c r="E39" i="21" s="1"/>
  <c r="C40" i="21" l="1"/>
  <c r="E40" i="21" s="1"/>
  <c r="C41" i="21" l="1"/>
  <c r="E41" i="21" s="1"/>
  <c r="C42" i="21"/>
  <c r="E42" i="21" s="1"/>
  <c r="C43" i="21"/>
  <c r="E43" i="21" s="1"/>
  <c r="C44" i="21"/>
  <c r="E44" i="21" s="1"/>
  <c r="C45" i="21"/>
  <c r="E45" i="21" s="1"/>
  <c r="C46" i="21" l="1"/>
  <c r="E46" i="21" s="1"/>
  <c r="C47" i="21" l="1"/>
  <c r="E47" i="21" s="1"/>
  <c r="C48" i="21"/>
  <c r="E48" i="21" s="1"/>
  <c r="C49" i="21"/>
  <c r="E49" i="21" s="1"/>
  <c r="C50" i="21"/>
  <c r="E50" i="21" s="1"/>
  <c r="C51" i="21"/>
  <c r="E51" i="21" s="1"/>
  <c r="D7" i="34" l="1"/>
  <c r="C52" i="21"/>
  <c r="E52" i="21" s="1"/>
  <c r="H4" i="21" s="1"/>
  <c r="C53" i="21" l="1"/>
  <c r="E53" i="21" s="1"/>
  <c r="C54" i="21"/>
  <c r="E54" i="21" s="1"/>
  <c r="C55" i="21"/>
  <c r="E55" i="21" s="1"/>
  <c r="C56" i="21"/>
  <c r="E56" i="21" s="1"/>
  <c r="C57" i="21"/>
  <c r="E57" i="21" s="1"/>
  <c r="C58" i="21" l="1"/>
  <c r="E58" i="21" s="1"/>
  <c r="C59" i="21" l="1"/>
  <c r="E59" i="21" s="1"/>
  <c r="C60" i="21"/>
  <c r="E60" i="21" s="1"/>
  <c r="C61" i="21"/>
  <c r="E61" i="21" s="1"/>
  <c r="C62" i="21"/>
  <c r="E62" i="21" s="1"/>
  <c r="C63" i="21"/>
  <c r="E63" i="21" s="1"/>
  <c r="H15" i="21" l="1"/>
  <c r="H12" i="21"/>
  <c r="H11" i="21"/>
  <c r="H13" i="21"/>
  <c r="H14" i="21"/>
  <c r="H7" i="21"/>
  <c r="H6" i="21"/>
  <c r="H5" i="21"/>
  <c r="H9" i="21"/>
  <c r="H8" i="21"/>
  <c r="H10" i="21"/>
  <c r="D8" i="34"/>
  <c r="D6" i="34" l="1"/>
  <c r="H27" i="26"/>
  <c r="H28" i="26"/>
  <c r="H29" i="26"/>
  <c r="H30" i="26"/>
  <c r="D5" i="28" l="1"/>
  <c r="E5" i="28" s="1"/>
  <c r="D13" i="28"/>
  <c r="E13" i="28" s="1"/>
  <c r="E4" i="28"/>
  <c r="D15" i="28"/>
  <c r="E15" i="28" s="1"/>
  <c r="D7" i="28"/>
  <c r="E7" i="28" s="1"/>
  <c r="D9" i="28"/>
  <c r="E9" i="28" s="1"/>
  <c r="D14" i="28"/>
  <c r="E14" i="28" s="1"/>
  <c r="D10" i="28"/>
  <c r="E10" i="28" s="1"/>
  <c r="D8" i="28"/>
  <c r="E8" i="28" s="1"/>
  <c r="D11" i="28"/>
  <c r="E11" i="28" s="1"/>
  <c r="D6" i="28"/>
  <c r="E6" i="28" s="1"/>
  <c r="D12" i="28"/>
  <c r="E12" i="28" s="1"/>
  <c r="E17" i="28" l="1"/>
  <c r="C12" i="29" s="1"/>
  <c r="D17" i="28"/>
  <c r="C21" i="29" s="1"/>
  <c r="E21" i="29" s="1"/>
  <c r="C27" i="29"/>
  <c r="C32" i="29"/>
  <c r="C22" i="29"/>
  <c r="E22" i="29" s="1"/>
  <c r="C24" i="29"/>
  <c r="C26" i="29"/>
  <c r="C28" i="29"/>
  <c r="C30" i="29"/>
  <c r="C25" i="29"/>
  <c r="C23" i="29"/>
  <c r="C29" i="29"/>
  <c r="C31" i="29" l="1"/>
  <c r="C8" i="29"/>
  <c r="C6" i="29"/>
  <c r="C9" i="29"/>
  <c r="C11" i="29"/>
  <c r="C5" i="29"/>
  <c r="C7" i="29"/>
  <c r="C13" i="29"/>
  <c r="C4" i="29"/>
  <c r="C10" i="29"/>
  <c r="C3" i="29"/>
  <c r="D21" i="29" s="1"/>
  <c r="D30" i="29"/>
  <c r="C14" i="29"/>
  <c r="D3" i="29"/>
  <c r="F21" i="29" s="1"/>
  <c r="B26" i="35"/>
  <c r="C26" i="35" s="1"/>
  <c r="D24" i="29"/>
  <c r="D27" i="29"/>
  <c r="D28" i="29"/>
  <c r="D26" i="29"/>
  <c r="E27" i="29"/>
  <c r="E26" i="29"/>
  <c r="E25" i="29"/>
  <c r="E32" i="29"/>
  <c r="E30" i="29"/>
  <c r="E29" i="29"/>
  <c r="E24" i="29"/>
  <c r="E28" i="29"/>
  <c r="E23" i="29"/>
  <c r="E31" i="29"/>
  <c r="K3" i="29" l="1"/>
  <c r="D32" i="29"/>
  <c r="G3" i="29"/>
  <c r="H3" i="29" s="1"/>
  <c r="D25" i="29"/>
  <c r="D22" i="29"/>
  <c r="D14" i="29"/>
  <c r="F32" i="29" s="1"/>
  <c r="L14" i="29"/>
  <c r="D5" i="29"/>
  <c r="F23" i="29" s="1"/>
  <c r="D13" i="29"/>
  <c r="F31" i="29" s="1"/>
  <c r="D6" i="29"/>
  <c r="F24" i="29" s="1"/>
  <c r="D31" i="29"/>
  <c r="H8" i="29"/>
  <c r="D8" i="29"/>
  <c r="F26" i="29" s="1"/>
  <c r="D29" i="29"/>
  <c r="D10" i="29"/>
  <c r="F28" i="29" s="1"/>
  <c r="D12" i="29"/>
  <c r="F30" i="29" s="1"/>
  <c r="D4" i="29"/>
  <c r="F22" i="29" s="1"/>
  <c r="D9" i="29"/>
  <c r="F27" i="29" s="1"/>
  <c r="D11" i="29"/>
  <c r="F29" i="29" s="1"/>
  <c r="D7" i="29"/>
  <c r="F25" i="29" s="1"/>
  <c r="D23" i="29"/>
  <c r="L4" i="29"/>
  <c r="L13" i="29"/>
  <c r="L3" i="29"/>
  <c r="L9" i="29"/>
  <c r="L10" i="29"/>
  <c r="L5" i="29"/>
  <c r="L6" i="29"/>
  <c r="L8" i="29"/>
  <c r="L11" i="29"/>
  <c r="L12" i="29"/>
  <c r="L7" i="29"/>
  <c r="H4" i="29"/>
  <c r="H9" i="29"/>
  <c r="H11" i="29"/>
  <c r="H6" i="29" l="1"/>
  <c r="H12" i="29"/>
  <c r="H10" i="29"/>
  <c r="H14" i="29"/>
  <c r="H7" i="29"/>
  <c r="H13" i="29"/>
  <c r="H5"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tc={990DCBB5-CB6F-48A4-A59C-DC66B9AD2EBB}</author>
  </authors>
  <commentList>
    <comment ref="K11" authorId="0" shapeId="0" xr:uid="{990DCBB5-CB6F-48A4-A59C-DC66B9AD2EBB}">
      <text>
        <t>[Threaded comment]
Your version of Excel allows you to read this threaded comment; however, any edits to it will get removed if the file is opened in a newer version of Excel. Learn more: https://go.microsoft.com/fwlink/?linkid=870924
Comment:
    This was the largest value so added another 0.01% to ensure rounded values sum to 100%</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tc={6C13F62F-5C5A-4B33-99DB-E2FDC50DC42F}</author>
  </authors>
  <commentList>
    <comment ref="D3" authorId="0" shapeId="0" xr:uid="{6C13F62F-5C5A-4B33-99DB-E2FDC50DC42F}">
      <text>
        <t>[Threaded comment]
Your version of Excel allows you to read this threaded comment; however, any edits to it will get removed if the file is opened in a newer version of Excel. Learn more: https://go.microsoft.com/fwlink/?linkid=870924
Comment:
    We also apply an additional growth to capture the spend increasing each year. See notes in PrescribingModel_Overview for explanation.</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 User</author>
  </authors>
  <commentList>
    <comment ref="B10" authorId="0" shapeId="0" xr:uid="{DC916403-3330-44C7-9E1F-6031FECD2270}">
      <text>
        <r>
          <rPr>
            <sz val="8"/>
            <color indexed="81"/>
            <rFont val="Tahoma"/>
            <family val="2"/>
          </rPr>
          <t xml:space="preserve">This is not in public domain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 User</author>
  </authors>
  <commentList>
    <comment ref="B11" authorId="0" shapeId="0" xr:uid="{00000000-0006-0000-0A00-000001000000}">
      <text>
        <r>
          <rPr>
            <sz val="8"/>
            <color indexed="81"/>
            <rFont val="Tahoma"/>
            <family val="2"/>
          </rPr>
          <t xml:space="preserve">This is not in public domain
</t>
        </r>
      </text>
    </comment>
  </commentList>
</comments>
</file>

<file path=xl/sharedStrings.xml><?xml version="1.0" encoding="utf-8"?>
<sst xmlns="http://schemas.openxmlformats.org/spreadsheetml/2006/main" count="407" uniqueCount="150">
  <si>
    <t>INPUT DATA</t>
  </si>
  <si>
    <r>
      <t xml:space="preserve">Enter the most recent data available in the "Data" sheet and make sure the headings are updated to show the correct years - do </t>
    </r>
    <r>
      <rPr>
        <b/>
        <sz val="10"/>
        <rFont val="Arial"/>
        <family val="2"/>
      </rPr>
      <t>not</t>
    </r>
    <r>
      <rPr>
        <sz val="10"/>
        <rFont val="Arial"/>
        <family val="2"/>
      </rPr>
      <t xml:space="preserve"> add additional columns of data, simply replace the values so the current year is always in column G</t>
    </r>
  </si>
  <si>
    <t>There needs to be complete data from 5 previous years. The current data (in column G) can either be empty, or have any number of month's worth of data</t>
  </si>
  <si>
    <t>Update the "Dispensing Days" sheet if it does not include the year you are currently modelling. Additional columns may be added to this sheet</t>
  </si>
  <si>
    <t>RESULTS</t>
  </si>
  <si>
    <t>The forecast spend will be shown in the "Forecasting" sheet, and the monthly profiles in the "CCG Profile" sheet</t>
  </si>
  <si>
    <t>Forecast Profile</t>
  </si>
  <si>
    <t>Cumulative profile</t>
  </si>
  <si>
    <t>April</t>
  </si>
  <si>
    <t>May</t>
  </si>
  <si>
    <t>June</t>
  </si>
  <si>
    <t>July</t>
  </si>
  <si>
    <t>August</t>
  </si>
  <si>
    <t>September</t>
  </si>
  <si>
    <t>October</t>
  </si>
  <si>
    <t>November</t>
  </si>
  <si>
    <t>December</t>
  </si>
  <si>
    <t>January</t>
  </si>
  <si>
    <t>February</t>
  </si>
  <si>
    <t>March</t>
  </si>
  <si>
    <t>Compare how the current proportions compare with the initial proportions forecast by the model:</t>
  </si>
  <si>
    <t>Forecast profile from the model at beginning of year</t>
  </si>
  <si>
    <t>Cumulative profile from the model at the beginning of the year</t>
  </si>
  <si>
    <t>Forecast values: Monthly spend (£)</t>
  </si>
  <si>
    <t>True Values</t>
  </si>
  <si>
    <t>Model Forecast</t>
  </si>
  <si>
    <t>Overall Estimates</t>
  </si>
  <si>
    <t>Total spend</t>
  </si>
  <si>
    <t>Calculate Prescriptions per dispensing day</t>
  </si>
  <si>
    <t>year</t>
  </si>
  <si>
    <t>Month</t>
  </si>
  <si>
    <t>Historical</t>
  </si>
  <si>
    <t>Dispensing days</t>
  </si>
  <si>
    <t>Prescription spend per dispensing day</t>
  </si>
  <si>
    <t>Average prescription spend per dispensing day for each month</t>
  </si>
  <si>
    <t>Data entry sheet</t>
  </si>
  <si>
    <t>Actual monthly drugs spend (£)</t>
  </si>
  <si>
    <t>Year</t>
  </si>
  <si>
    <t>2016/17</t>
  </si>
  <si>
    <t>2017/18</t>
  </si>
  <si>
    <t>2018/19</t>
  </si>
  <si>
    <t>2019/20</t>
  </si>
  <si>
    <t>2020/21</t>
  </si>
  <si>
    <t>2021/22</t>
  </si>
  <si>
    <t>Policy/local adjustments (£)</t>
  </si>
  <si>
    <t>Policy Impact</t>
  </si>
  <si>
    <t>Date</t>
  </si>
  <si>
    <t>Type</t>
  </si>
  <si>
    <t>Impact per year</t>
  </si>
  <si>
    <t>Per month</t>
  </si>
  <si>
    <t>Net impact since April 2015</t>
  </si>
  <si>
    <t>1st generic</t>
  </si>
  <si>
    <t>2nd generic</t>
  </si>
  <si>
    <t>PPRS 05</t>
  </si>
  <si>
    <t>CatM1</t>
  </si>
  <si>
    <t>CatM2</t>
  </si>
  <si>
    <t>CatM technical adju</t>
  </si>
  <si>
    <t>CatM3</t>
  </si>
  <si>
    <t>CatM4</t>
  </si>
  <si>
    <t>PPRS 09 (-3.9%)</t>
  </si>
  <si>
    <t>CatM5</t>
  </si>
  <si>
    <t>PPRS 09 (-1.9%)</t>
  </si>
  <si>
    <t>CatM6</t>
  </si>
  <si>
    <t>PPRS09 (+0.1%)</t>
  </si>
  <si>
    <t>CatM7</t>
  </si>
  <si>
    <t>QP indicators &amp; QIPP</t>
  </si>
  <si>
    <t>CatM8</t>
  </si>
  <si>
    <t>PPRS09 (+0.2%)</t>
  </si>
  <si>
    <t>CatM9</t>
  </si>
  <si>
    <t>Atorvastatin</t>
  </si>
  <si>
    <t>CatM10</t>
  </si>
  <si>
    <t>CatM</t>
  </si>
  <si>
    <t>CatM11</t>
  </si>
  <si>
    <t>https://psnc.org.uk/funding-and-statistics/funding-distribution/summary-of-funding-changes/</t>
  </si>
  <si>
    <t>Description of Cateogry M: https://psnc.org.uk/funding-and-statistics/funding-distribution/retained-margin-category-m/</t>
  </si>
  <si>
    <t>2005/06</t>
  </si>
  <si>
    <t>2006/07</t>
  </si>
  <si>
    <t>2007/08</t>
  </si>
  <si>
    <t>2008/09</t>
  </si>
  <si>
    <t>2009/10</t>
  </si>
  <si>
    <t>2010/11</t>
  </si>
  <si>
    <t>2011/12</t>
  </si>
  <si>
    <t>2012/13</t>
  </si>
  <si>
    <t>2013/14</t>
  </si>
  <si>
    <t>2014/15</t>
  </si>
  <si>
    <t>2015/16</t>
  </si>
  <si>
    <t>SUMMARY OUTPUT</t>
  </si>
  <si>
    <t>Regression Statistics</t>
  </si>
  <si>
    <t>Multiple R</t>
  </si>
  <si>
    <t>R Square</t>
  </si>
  <si>
    <t>Adjusted R Square</t>
  </si>
  <si>
    <t>Standard Error</t>
  </si>
  <si>
    <t>Observations</t>
  </si>
  <si>
    <t>ANOVA</t>
  </si>
  <si>
    <t>df</t>
  </si>
  <si>
    <t>SS</t>
  </si>
  <si>
    <t>MS</t>
  </si>
  <si>
    <t>F</t>
  </si>
  <si>
    <t>Significance F</t>
  </si>
  <si>
    <t>Regression</t>
  </si>
  <si>
    <t>Residual</t>
  </si>
  <si>
    <t>Total</t>
  </si>
  <si>
    <t>Coefficients</t>
  </si>
  <si>
    <t>t Stat</t>
  </si>
  <si>
    <t>P-value</t>
  </si>
  <si>
    <t>Lower 95%</t>
  </si>
  <si>
    <t>Upper 95%</t>
  </si>
  <si>
    <t>Lower 95.0%</t>
  </si>
  <si>
    <t>Upper 95.0%</t>
  </si>
  <si>
    <t>Intercept</t>
  </si>
  <si>
    <t>X Variable 1</t>
  </si>
  <si>
    <t>X Variable 2</t>
  </si>
  <si>
    <t>X Variable 3</t>
  </si>
  <si>
    <t>Taken from 20130221 National forecast incl DCMC</t>
  </si>
  <si>
    <t>Policy changes used in the model - internal estimate</t>
  </si>
  <si>
    <t>PPRS 09 (3.9%)</t>
  </si>
  <si>
    <t>PPRS 09 (1.9%)</t>
  </si>
  <si>
    <t>PPRS09</t>
  </si>
  <si>
    <t>Restricted Policy</t>
  </si>
  <si>
    <t>2022/23</t>
  </si>
  <si>
    <t>2023/24</t>
  </si>
  <si>
    <t>Data available here: https://www.nhsbsa.nhs.uk/prescription-data/understanding-our-data/financial-forecasting</t>
  </si>
  <si>
    <t>Rounded to 2 d.p. (preferred for sharing)</t>
  </si>
  <si>
    <t>For Data sheet</t>
  </si>
  <si>
    <t>Contact: Bayan Amin (bayan.amin@dhsc.gov.uk) &amp; Hugh Cochrane (hugh.cochrane@dhsc.gov.uk)</t>
  </si>
  <si>
    <t>Rounded to 2 d.p. with manual update to get 100% (preferred for sharing)</t>
  </si>
  <si>
    <t>2024/25</t>
  </si>
  <si>
    <t>Growth</t>
  </si>
  <si>
    <t>Average spend per dispensing day</t>
  </si>
  <si>
    <t xml:space="preserve">NB: These adjustments are typically applied on a quarterly basis, aligned with Category M tariff publications, unless there is an exception. </t>
  </si>
  <si>
    <t>Does the spend look reasonable compared with previous years?</t>
  </si>
  <si>
    <t>Does the modelled spend seem comparable to the real spend?</t>
  </si>
  <si>
    <t>Do the spend proportions sum to 100%?</t>
  </si>
  <si>
    <t>Month(s) Data Added</t>
  </si>
  <si>
    <t>Initials of User</t>
  </si>
  <si>
    <t>EW</t>
  </si>
  <si>
    <t>N/A</t>
  </si>
  <si>
    <t>If you wish to compare how the current monthly profiles compare with the model predictions at the beginning of the year, this is seen in the 2nd table in the "Output Profile" sheet</t>
  </si>
  <si>
    <t>Average</t>
  </si>
  <si>
    <t>If we simply go on averages each year, our estimates are always slightly low as we do not capture the growth seen between years as well. Want to average the growth across all full years of data</t>
  </si>
  <si>
    <t>Created a new document following the QA process. Currently has data until October 2024.</t>
  </si>
  <si>
    <t>Version of Model</t>
  </si>
  <si>
    <t>24/25</t>
  </si>
  <si>
    <t>Additional Commments</t>
  </si>
  <si>
    <t>VA</t>
  </si>
  <si>
    <t>Nov-24, Dec-24</t>
  </si>
  <si>
    <t>Updating data</t>
  </si>
  <si>
    <t xml:space="preserve">NOTE: Typically the adjustment is applied on a quarterly basis, except for rare in-quarter adjustments.
Next adjustment is due in July 2025. Contact Bayan. </t>
  </si>
  <si>
    <t>Created a new document for 2025/26. Contains full data for 2024/25 but no data for 2025/26</t>
  </si>
  <si>
    <t>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</si>
</sst>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0.0%"/>
    <numFmt numFmtId="167" formatCode="0.0_ ;[Red]\-0.0\ "/>
  </numFmts>
  <fonts count="20" x14ac:knownFonts="1">
    <font>
      <sz val="10"/>
      <name val="Arial"/>
    </font>
    <font>
      <sz val="10"/>
      <name val="Arial"/>
      <family val="2"/>
    </font>
    <font>
      <b/>
      <sz val="12"/>
      <name val="Arial"/>
      <family val="2"/>
    </font>
    <font>
      <sz val="8"/>
      <name val="Arial"/>
      <family val="2"/>
    </font>
    <font>
      <i/>
      <sz val="10"/>
      <name val="Arial"/>
      <family val="2"/>
    </font>
    <font>
      <sz val="10"/>
      <color indexed="9"/>
      <name val="Arial"/>
      <family val="2"/>
    </font>
    <font>
      <sz val="10"/>
      <color indexed="10"/>
      <name val="Arial"/>
      <family val="2"/>
    </font>
    <font>
      <sz val="10"/>
      <color indexed="63"/>
      <name val="Tahoma"/>
      <family val="2"/>
    </font>
    <font>
      <b/>
      <sz val="18"/>
      <name val="Arial"/>
      <family val="2"/>
    </font>
    <font>
      <b/>
      <sz val="10"/>
      <name val="Arial"/>
      <family val="2"/>
    </font>
    <font>
      <sz val="10"/>
      <color indexed="8"/>
      <name val="Arial"/>
      <family val="2"/>
    </font>
    <font>
      <b/>
      <sz val="10"/>
      <color indexed="8"/>
      <name val="Arial"/>
      <family val="2"/>
    </font>
    <font>
      <sz val="8"/>
      <color indexed="81"/>
      <name val="Tahoma"/>
      <family val="2"/>
    </font>
    <font>
      <sz val="10"/>
      <color rgb="FFFF0000"/>
      <name val="Arial"/>
      <family val="2"/>
    </font>
    <font>
      <u/>
      <sz val="10"/>
      <color theme="10"/>
      <name val="Arial"/>
      <family val="2"/>
    </font>
    <font>
      <b/>
      <sz val="11"/>
      <color theme="1"/>
      <name val="Calibri"/>
      <family val="2"/>
      <scheme val="minor"/>
    </font>
    <font>
      <b/>
      <sz val="11"/>
      <name val="Calibri"/>
      <family val="2"/>
      <scheme val="minor"/>
    </font>
    <font>
      <sz val="11"/>
      <name val="Calibri"/>
      <family val="2"/>
      <scheme val="minor"/>
    </font>
    <font>
      <sz val="8"/>
      <color rgb="FFFF0000"/>
      <name val="Arial"/>
      <family val="2"/>
    </font>
    <font>
      <sz val="9"/>
      <color indexed="81"/>
      <name val="Tahoma"/>
      <family val="2"/>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3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22"/>
      </top>
      <bottom style="thin">
        <color indexed="22"/>
      </bottom>
      <diagonal/>
    </border>
    <border>
      <left style="thin">
        <color indexed="64"/>
      </left>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22"/>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style="thin">
        <color indexed="64"/>
      </bottom>
      <diagonal/>
    </border>
    <border>
      <left/>
      <right/>
      <top style="thin">
        <color indexed="64"/>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auto="1"/>
      </right>
      <top style="medium">
        <color auto="1"/>
      </top>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4"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64">
    <xf numFmtId="0" fontId="0" fillId="0" borderId="0" xfId="0"/>
    <xf numFmtId="0" fontId="2" fillId="0" borderId="0" xfId="0" applyFont="1"/>
    <xf numFmtId="164" fontId="0" fillId="0" borderId="0" xfId="1" applyNumberFormat="1" applyFont="1"/>
    <xf numFmtId="0" fontId="2" fillId="2" borderId="0" xfId="0" applyFont="1" applyFill="1"/>
    <xf numFmtId="0" fontId="0" fillId="2" borderId="0" xfId="0" applyFill="1"/>
    <xf numFmtId="0" fontId="0" fillId="2" borderId="1" xfId="0" applyFill="1" applyBorder="1"/>
    <xf numFmtId="0" fontId="0" fillId="2" borderId="2" xfId="0" applyFill="1" applyBorder="1"/>
    <xf numFmtId="164" fontId="1" fillId="0" borderId="0" xfId="1" applyNumberFormat="1"/>
    <xf numFmtId="164" fontId="0" fillId="2" borderId="0" xfId="1" applyNumberFormat="1" applyFont="1" applyFill="1"/>
    <xf numFmtId="0" fontId="5" fillId="2" borderId="0" xfId="0" applyFont="1" applyFill="1"/>
    <xf numFmtId="0" fontId="6" fillId="2" borderId="0" xfId="0" applyFont="1" applyFill="1"/>
    <xf numFmtId="0" fontId="7" fillId="0" borderId="0" xfId="0" applyFont="1" applyAlignment="1">
      <alignment horizontal="left" indent="1"/>
    </xf>
    <xf numFmtId="0" fontId="1" fillId="2" borderId="0" xfId="0" applyFont="1" applyFill="1"/>
    <xf numFmtId="0" fontId="0" fillId="2" borderId="3" xfId="0" applyFill="1" applyBorder="1"/>
    <xf numFmtId="0" fontId="0" fillId="2" borderId="4" xfId="0" applyFill="1" applyBorder="1"/>
    <xf numFmtId="0" fontId="8" fillId="2" borderId="0" xfId="0" applyFont="1" applyFill="1"/>
    <xf numFmtId="0" fontId="0" fillId="0" borderId="0" xfId="0" applyAlignment="1">
      <alignment horizontal="right" wrapText="1"/>
    </xf>
    <xf numFmtId="0" fontId="1" fillId="0" borderId="0" xfId="3"/>
    <xf numFmtId="0" fontId="9" fillId="0" borderId="0" xfId="3" applyFont="1"/>
    <xf numFmtId="0" fontId="1" fillId="0" borderId="9" xfId="3" applyBorder="1"/>
    <xf numFmtId="0" fontId="10" fillId="0" borderId="9" xfId="3" applyFont="1" applyBorder="1"/>
    <xf numFmtId="165" fontId="1" fillId="0" borderId="9" xfId="3" applyNumberFormat="1" applyBorder="1"/>
    <xf numFmtId="17" fontId="1" fillId="3" borderId="0" xfId="3" applyNumberFormat="1" applyFill="1"/>
    <xf numFmtId="0" fontId="6" fillId="0" borderId="0" xfId="3" applyFont="1"/>
    <xf numFmtId="165" fontId="1" fillId="0" borderId="10" xfId="3" applyNumberFormat="1" applyBorder="1"/>
    <xf numFmtId="0" fontId="0" fillId="0" borderId="11" xfId="0" applyBorder="1"/>
    <xf numFmtId="0" fontId="4" fillId="0" borderId="12" xfId="0" applyFont="1" applyBorder="1" applyAlignment="1">
      <alignment horizontal="center"/>
    </xf>
    <xf numFmtId="0" fontId="4" fillId="0" borderId="12" xfId="0" applyFont="1" applyBorder="1" applyAlignment="1">
      <alignment horizontal="centerContinuous"/>
    </xf>
    <xf numFmtId="3" fontId="0" fillId="0" borderId="0" xfId="0" applyNumberFormat="1"/>
    <xf numFmtId="0" fontId="0" fillId="2" borderId="10" xfId="0" applyFill="1" applyBorder="1"/>
    <xf numFmtId="0" fontId="0" fillId="2" borderId="9" xfId="0" applyFill="1" applyBorder="1"/>
    <xf numFmtId="0" fontId="0" fillId="0" borderId="0" xfId="0" applyAlignment="1">
      <alignment horizontal="right"/>
    </xf>
    <xf numFmtId="0" fontId="0" fillId="2" borderId="8" xfId="0" applyFill="1" applyBorder="1"/>
    <xf numFmtId="0" fontId="1" fillId="0" borderId="0" xfId="0" applyFont="1"/>
    <xf numFmtId="164" fontId="0" fillId="2" borderId="0" xfId="0" applyNumberFormat="1" applyFill="1"/>
    <xf numFmtId="166" fontId="0" fillId="2" borderId="0" xfId="2" applyNumberFormat="1" applyFont="1" applyFill="1"/>
    <xf numFmtId="0" fontId="14" fillId="0" borderId="0" xfId="4"/>
    <xf numFmtId="165" fontId="1" fillId="0" borderId="0" xfId="3" applyNumberFormat="1"/>
    <xf numFmtId="0" fontId="0" fillId="2" borderId="0" xfId="0" applyFill="1" applyAlignment="1">
      <alignment horizontal="right"/>
    </xf>
    <xf numFmtId="0" fontId="6" fillId="2" borderId="0" xfId="0" applyFont="1" applyFill="1" applyAlignment="1">
      <alignment horizontal="right"/>
    </xf>
    <xf numFmtId="10" fontId="0" fillId="2" borderId="0" xfId="2" applyNumberFormat="1" applyFont="1" applyFill="1" applyAlignment="1">
      <alignment horizontal="right"/>
    </xf>
    <xf numFmtId="17" fontId="1" fillId="0" borderId="0" xfId="3" applyNumberFormat="1" applyAlignment="1">
      <alignment horizontal="center"/>
    </xf>
    <xf numFmtId="0" fontId="10" fillId="0" borderId="9" xfId="3" applyFont="1" applyBorder="1" applyAlignment="1">
      <alignment horizontal="center"/>
    </xf>
    <xf numFmtId="0" fontId="1" fillId="0" borderId="9" xfId="3" applyBorder="1" applyAlignment="1">
      <alignment horizontal="center"/>
    </xf>
    <xf numFmtId="17" fontId="1" fillId="0" borderId="0" xfId="3" applyNumberFormat="1"/>
    <xf numFmtId="0" fontId="10" fillId="0" borderId="0" xfId="3" applyFont="1"/>
    <xf numFmtId="1" fontId="1" fillId="0" borderId="0" xfId="3" applyNumberFormat="1"/>
    <xf numFmtId="0" fontId="0" fillId="4" borderId="0" xfId="0" applyFill="1"/>
    <xf numFmtId="0" fontId="0" fillId="4" borderId="0" xfId="0" applyFill="1" applyAlignment="1">
      <alignment horizontal="right"/>
    </xf>
    <xf numFmtId="0" fontId="1" fillId="4" borderId="0" xfId="0" applyFont="1" applyFill="1" applyAlignment="1">
      <alignment horizontal="right"/>
    </xf>
    <xf numFmtId="164" fontId="0" fillId="4" borderId="0" xfId="0" applyNumberFormat="1" applyFill="1" applyAlignment="1">
      <alignment horizontal="right"/>
    </xf>
    <xf numFmtId="0" fontId="1" fillId="4" borderId="0" xfId="0" applyFont="1" applyFill="1"/>
    <xf numFmtId="10" fontId="0" fillId="4" borderId="0" xfId="0" applyNumberFormat="1" applyFill="1" applyAlignment="1">
      <alignment horizontal="right"/>
    </xf>
    <xf numFmtId="43" fontId="0" fillId="4" borderId="0" xfId="0" applyNumberFormat="1" applyFill="1" applyAlignment="1">
      <alignment horizontal="right"/>
    </xf>
    <xf numFmtId="43" fontId="0" fillId="0" borderId="0" xfId="0" applyNumberFormat="1"/>
    <xf numFmtId="164" fontId="0" fillId="0" borderId="0" xfId="0" applyNumberFormat="1"/>
    <xf numFmtId="0" fontId="1" fillId="2" borderId="0" xfId="0" applyFont="1" applyFill="1" applyAlignment="1">
      <alignment horizontal="right"/>
    </xf>
    <xf numFmtId="0" fontId="9" fillId="0" borderId="0" xfId="0" applyFont="1"/>
    <xf numFmtId="0" fontId="1" fillId="0" borderId="14" xfId="0" applyFont="1" applyBorder="1"/>
    <xf numFmtId="0" fontId="0" fillId="0" borderId="15" xfId="0" applyBorder="1"/>
    <xf numFmtId="164" fontId="0" fillId="0" borderId="16" xfId="1" applyNumberFormat="1" applyFont="1" applyBorder="1"/>
    <xf numFmtId="0" fontId="0" fillId="0" borderId="17" xfId="0" applyBorder="1"/>
    <xf numFmtId="164" fontId="0" fillId="0" borderId="18" xfId="1" applyNumberFormat="1" applyFont="1" applyBorder="1"/>
    <xf numFmtId="0" fontId="0" fillId="0" borderId="18" xfId="0" applyBorder="1"/>
    <xf numFmtId="0" fontId="9" fillId="0" borderId="19" xfId="0" applyFont="1" applyBorder="1"/>
    <xf numFmtId="0" fontId="0" fillId="0" borderId="20" xfId="0" applyBorder="1"/>
    <xf numFmtId="0" fontId="1" fillId="0" borderId="21" xfId="0" applyFont="1" applyBorder="1"/>
    <xf numFmtId="0" fontId="1" fillId="0" borderId="22" xfId="0" applyFont="1" applyBorder="1"/>
    <xf numFmtId="10" fontId="17" fillId="0" borderId="18" xfId="2" applyNumberFormat="1" applyFont="1" applyBorder="1"/>
    <xf numFmtId="0" fontId="9" fillId="0" borderId="23" xfId="0" applyFont="1" applyBorder="1"/>
    <xf numFmtId="0" fontId="16" fillId="0" borderId="18" xfId="0" applyFont="1" applyBorder="1" applyAlignment="1">
      <alignment horizontal="center" vertical="top" wrapText="1"/>
    </xf>
    <xf numFmtId="0" fontId="0" fillId="0" borderId="0" xfId="0" applyAlignment="1">
      <alignment horizontal="left"/>
    </xf>
    <xf numFmtId="0" fontId="15" fillId="0" borderId="18" xfId="0" applyFont="1" applyBorder="1"/>
    <xf numFmtId="0" fontId="15" fillId="0" borderId="18" xfId="0" applyFont="1" applyBorder="1" applyAlignment="1">
      <alignment horizontal="right" wrapText="1"/>
    </xf>
    <xf numFmtId="10" fontId="0" fillId="0" borderId="18" xfId="0" applyNumberFormat="1" applyBorder="1" applyAlignment="1">
      <alignment horizontal="right"/>
    </xf>
    <xf numFmtId="0" fontId="15" fillId="0" borderId="18" xfId="0" applyFont="1" applyBorder="1" applyAlignment="1">
      <alignment horizontal="center" vertical="top" wrapText="1"/>
    </xf>
    <xf numFmtId="10" fontId="1" fillId="0" borderId="18" xfId="0" applyNumberFormat="1" applyFont="1" applyBorder="1" applyAlignment="1">
      <alignment horizontal="right"/>
    </xf>
    <xf numFmtId="1" fontId="11" fillId="0" borderId="18" xfId="3" applyNumberFormat="1" applyFont="1" applyBorder="1" applyAlignment="1">
      <alignment horizontal="center"/>
    </xf>
    <xf numFmtId="0" fontId="9" fillId="0" borderId="18" xfId="3" applyFont="1" applyBorder="1" applyAlignment="1">
      <alignment horizontal="center"/>
    </xf>
    <xf numFmtId="17" fontId="10" fillId="0" borderId="18" xfId="3" applyNumberFormat="1" applyFont="1" applyBorder="1" applyAlignment="1">
      <alignment horizontal="center"/>
    </xf>
    <xf numFmtId="164" fontId="10" fillId="0" borderId="18" xfId="1" applyNumberFormat="1" applyFont="1" applyFill="1" applyBorder="1" applyAlignment="1">
      <alignment horizontal="center"/>
    </xf>
    <xf numFmtId="0" fontId="1" fillId="0" borderId="18" xfId="3" applyBorder="1" applyAlignment="1">
      <alignment horizontal="center"/>
    </xf>
    <xf numFmtId="165" fontId="1" fillId="0" borderId="18" xfId="3" applyNumberFormat="1" applyBorder="1" applyAlignment="1">
      <alignment horizontal="center"/>
    </xf>
    <xf numFmtId="0" fontId="10" fillId="0" borderId="18" xfId="3" applyFont="1" applyBorder="1" applyAlignment="1">
      <alignment horizontal="center"/>
    </xf>
    <xf numFmtId="1" fontId="1" fillId="0" borderId="18" xfId="3" applyNumberFormat="1" applyBorder="1" applyAlignment="1">
      <alignment horizontal="center"/>
    </xf>
    <xf numFmtId="0" fontId="11" fillId="0" borderId="18" xfId="3" applyFont="1" applyBorder="1" applyAlignment="1">
      <alignment horizontal="center"/>
    </xf>
    <xf numFmtId="17" fontId="1" fillId="0" borderId="18" xfId="3" applyNumberFormat="1" applyBorder="1" applyAlignment="1">
      <alignment horizontal="center"/>
    </xf>
    <xf numFmtId="3" fontId="1" fillId="0" borderId="18" xfId="3" applyNumberFormat="1" applyBorder="1" applyAlignment="1">
      <alignment horizontal="center"/>
    </xf>
    <xf numFmtId="167" fontId="1" fillId="0" borderId="18" xfId="3" applyNumberFormat="1" applyBorder="1" applyAlignment="1">
      <alignment horizontal="center"/>
    </xf>
    <xf numFmtId="1" fontId="10" fillId="0" borderId="18" xfId="3" applyNumberFormat="1" applyFont="1" applyBorder="1"/>
    <xf numFmtId="0" fontId="1" fillId="0" borderId="18" xfId="3" applyBorder="1"/>
    <xf numFmtId="17" fontId="10" fillId="0" borderId="18" xfId="3" applyNumberFormat="1" applyFont="1" applyBorder="1"/>
    <xf numFmtId="164" fontId="10" fillId="0" borderId="18" xfId="1" applyNumberFormat="1" applyFont="1" applyFill="1" applyBorder="1"/>
    <xf numFmtId="165" fontId="1" fillId="0" borderId="18" xfId="3" applyNumberFormat="1" applyBorder="1"/>
    <xf numFmtId="0" fontId="10" fillId="0" borderId="18" xfId="3" applyFont="1" applyBorder="1"/>
    <xf numFmtId="1" fontId="1" fillId="0" borderId="18" xfId="3" applyNumberFormat="1" applyBorder="1"/>
    <xf numFmtId="17" fontId="10" fillId="3" borderId="18" xfId="3" applyNumberFormat="1" applyFont="1" applyFill="1" applyBorder="1"/>
    <xf numFmtId="0" fontId="11" fillId="0" borderId="18" xfId="3" applyFont="1" applyBorder="1"/>
    <xf numFmtId="17" fontId="1" fillId="3" borderId="18" xfId="3" applyNumberFormat="1" applyFill="1" applyBorder="1"/>
    <xf numFmtId="3" fontId="1" fillId="0" borderId="18" xfId="3" applyNumberFormat="1" applyBorder="1"/>
    <xf numFmtId="0" fontId="1" fillId="2" borderId="24" xfId="0" applyFont="1" applyFill="1" applyBorder="1" applyAlignment="1">
      <alignment horizontal="right"/>
    </xf>
    <xf numFmtId="0" fontId="13" fillId="0" borderId="0" xfId="0" applyFont="1"/>
    <xf numFmtId="165" fontId="13" fillId="0" borderId="18" xfId="3" applyNumberFormat="1" applyFont="1" applyBorder="1" applyAlignment="1">
      <alignment horizontal="center"/>
    </xf>
    <xf numFmtId="164" fontId="9" fillId="0" borderId="18" xfId="1" applyNumberFormat="1" applyFont="1" applyBorder="1"/>
    <xf numFmtId="0" fontId="9" fillId="0" borderId="18" xfId="0" applyFont="1" applyBorder="1"/>
    <xf numFmtId="164" fontId="9" fillId="0" borderId="18" xfId="0" applyNumberFormat="1" applyFont="1" applyBorder="1"/>
    <xf numFmtId="165" fontId="13" fillId="0" borderId="25" xfId="3" applyNumberFormat="1" applyFont="1" applyBorder="1" applyAlignment="1">
      <alignment horizontal="center"/>
    </xf>
    <xf numFmtId="167" fontId="1" fillId="0" borderId="25" xfId="3" applyNumberFormat="1" applyBorder="1" applyAlignment="1">
      <alignment horizontal="center"/>
    </xf>
    <xf numFmtId="0" fontId="13" fillId="0" borderId="25" xfId="0" applyFont="1" applyBorder="1" applyAlignment="1">
      <alignment horizontal="center"/>
    </xf>
    <xf numFmtId="0" fontId="1" fillId="0" borderId="25" xfId="0" applyFont="1" applyBorder="1" applyAlignment="1">
      <alignment horizontal="center"/>
    </xf>
    <xf numFmtId="0" fontId="1" fillId="0" borderId="0" xfId="3" applyAlignment="1">
      <alignment wrapText="1"/>
    </xf>
    <xf numFmtId="17" fontId="1" fillId="0" borderId="0" xfId="3" applyNumberFormat="1" applyBorder="1" applyAlignment="1">
      <alignment horizontal="center"/>
    </xf>
    <xf numFmtId="0" fontId="10" fillId="0" borderId="0" xfId="3" applyFont="1" applyBorder="1" applyAlignment="1">
      <alignment horizontal="center"/>
    </xf>
    <xf numFmtId="0" fontId="1" fillId="0" borderId="0" xfId="0" applyFont="1" applyBorder="1" applyAlignment="1">
      <alignment horizontal="center"/>
    </xf>
    <xf numFmtId="0" fontId="18" fillId="0" borderId="0" xfId="3" applyFont="1" applyAlignment="1">
      <alignment vertical="center" wrapText="1"/>
    </xf>
    <xf numFmtId="0" fontId="0" fillId="0" borderId="0" xfId="0" applyAlignment="1">
      <alignment wrapText="1"/>
    </xf>
    <xf numFmtId="0" fontId="1" fillId="2" borderId="27" xfId="0" applyFont="1" applyFill="1" applyBorder="1" applyAlignment="1">
      <alignment horizontal="right"/>
    </xf>
    <xf numFmtId="10" fontId="0" fillId="0" borderId="30" xfId="0" applyNumberFormat="1" applyBorder="1"/>
    <xf numFmtId="14" fontId="0" fillId="0" borderId="0" xfId="0" applyNumberFormat="1" applyAlignment="1">
      <alignment wrapText="1"/>
    </xf>
    <xf numFmtId="164" fontId="0" fillId="0" borderId="13" xfId="1" applyNumberFormat="1" applyFont="1" applyFill="1" applyBorder="1" applyAlignment="1" applyProtection="1">
      <alignment horizontal="right"/>
      <protection locked="0"/>
    </xf>
    <xf numFmtId="164" fontId="0" fillId="0" borderId="13" xfId="5" applyNumberFormat="1" applyFont="1" applyFill="1" applyBorder="1" applyAlignment="1" applyProtection="1">
      <alignment horizontal="right"/>
      <protection locked="0"/>
    </xf>
    <xf numFmtId="164" fontId="0" fillId="0" borderId="29" xfId="5" applyNumberFormat="1" applyFont="1" applyFill="1" applyBorder="1" applyAlignment="1" applyProtection="1">
      <alignment horizontal="right"/>
      <protection locked="0"/>
    </xf>
    <xf numFmtId="164" fontId="0" fillId="0" borderId="0" xfId="1" applyNumberFormat="1" applyFont="1" applyFill="1" applyBorder="1" applyAlignment="1" applyProtection="1">
      <alignment horizontal="right"/>
      <protection locked="0"/>
    </xf>
    <xf numFmtId="164" fontId="0" fillId="0" borderId="0" xfId="5" applyNumberFormat="1" applyFont="1" applyFill="1" applyBorder="1" applyAlignment="1" applyProtection="1">
      <alignment horizontal="right"/>
      <protection locked="0"/>
    </xf>
    <xf numFmtId="164" fontId="0" fillId="0" borderId="9" xfId="5" applyNumberFormat="1" applyFont="1" applyFill="1" applyBorder="1" applyAlignment="1" applyProtection="1">
      <alignment horizontal="right"/>
      <protection locked="0"/>
    </xf>
    <xf numFmtId="164" fontId="0" fillId="0" borderId="9" xfId="1" applyNumberFormat="1" applyFont="1" applyFill="1" applyBorder="1" applyAlignment="1" applyProtection="1">
      <alignment horizontal="right"/>
      <protection locked="0"/>
    </xf>
    <xf numFmtId="164" fontId="0" fillId="0" borderId="1" xfId="1" applyNumberFormat="1" applyFont="1" applyFill="1" applyBorder="1" applyAlignment="1" applyProtection="1">
      <alignment horizontal="right"/>
      <protection locked="0"/>
    </xf>
    <xf numFmtId="164" fontId="0" fillId="0" borderId="1" xfId="5" applyNumberFormat="1" applyFont="1" applyFill="1" applyBorder="1" applyAlignment="1" applyProtection="1">
      <alignment horizontal="right"/>
      <protection locked="0"/>
    </xf>
    <xf numFmtId="164" fontId="0" fillId="0" borderId="26" xfId="1" applyNumberFormat="1" applyFont="1" applyFill="1" applyBorder="1" applyAlignment="1" applyProtection="1">
      <alignment horizontal="right"/>
      <protection locked="0"/>
    </xf>
    <xf numFmtId="3" fontId="0" fillId="0" borderId="13" xfId="1" applyNumberFormat="1" applyFont="1" applyFill="1" applyBorder="1" applyAlignment="1" applyProtection="1">
      <alignment horizontal="right"/>
      <protection locked="0"/>
    </xf>
    <xf numFmtId="164" fontId="0" fillId="0" borderId="28" xfId="1" applyNumberFormat="1" applyFont="1" applyFill="1" applyBorder="1" applyAlignment="1" applyProtection="1">
      <alignment horizontal="right"/>
      <protection locked="0"/>
    </xf>
    <xf numFmtId="164" fontId="0" fillId="0" borderId="29" xfId="1" applyNumberFormat="1" applyFont="1" applyFill="1" applyBorder="1" applyAlignment="1" applyProtection="1">
      <alignment horizontal="right"/>
      <protection locked="0"/>
    </xf>
    <xf numFmtId="3" fontId="0" fillId="0" borderId="0" xfId="1" applyNumberFormat="1" applyFont="1" applyFill="1" applyBorder="1" applyAlignment="1" applyProtection="1">
      <alignment horizontal="right"/>
      <protection locked="0"/>
    </xf>
    <xf numFmtId="3" fontId="0" fillId="0" borderId="1" xfId="1" applyNumberFormat="1" applyFont="1" applyFill="1" applyBorder="1" applyAlignment="1" applyProtection="1">
      <alignment horizontal="right"/>
      <protection locked="0"/>
    </xf>
    <xf numFmtId="0" fontId="0" fillId="0" borderId="32" xfId="0" applyBorder="1"/>
    <xf numFmtId="0" fontId="9" fillId="0" borderId="35" xfId="0" applyFont="1" applyBorder="1"/>
    <xf numFmtId="0" fontId="0" fillId="0" borderId="33" xfId="0" applyBorder="1"/>
    <xf numFmtId="164" fontId="0" fillId="0" borderId="36" xfId="1" applyNumberFormat="1" applyFont="1" applyBorder="1"/>
    <xf numFmtId="0" fontId="0" fillId="0" borderId="34" xfId="0" applyBorder="1"/>
    <xf numFmtId="164" fontId="0" fillId="0" borderId="2" xfId="1" applyNumberFormat="1" applyFont="1" applyBorder="1"/>
    <xf numFmtId="0" fontId="0" fillId="0" borderId="36" xfId="0" applyBorder="1"/>
    <xf numFmtId="166" fontId="0" fillId="0" borderId="36" xfId="0" applyNumberFormat="1" applyBorder="1"/>
    <xf numFmtId="166" fontId="0" fillId="0" borderId="2" xfId="0" applyNumberFormat="1" applyBorder="1"/>
    <xf numFmtId="0" fontId="0" fillId="0" borderId="31" xfId="0" applyBorder="1"/>
    <xf numFmtId="0" fontId="0" fillId="0" borderId="24" xfId="0" applyBorder="1"/>
    <xf numFmtId="0" fontId="0" fillId="0" borderId="30" xfId="0" applyBorder="1" applyAlignment="1">
      <alignment wrapText="1"/>
    </xf>
    <xf numFmtId="166" fontId="9" fillId="0" borderId="0" xfId="0" applyNumberFormat="1" applyFont="1"/>
    <xf numFmtId="164" fontId="0" fillId="0" borderId="9" xfId="0" applyNumberFormat="1" applyBorder="1"/>
    <xf numFmtId="164" fontId="0" fillId="0" borderId="26" xfId="0" applyNumberFormat="1" applyBorder="1"/>
    <xf numFmtId="164" fontId="0" fillId="0" borderId="20" xfId="1" applyNumberFormat="1" applyFont="1" applyBorder="1"/>
    <xf numFmtId="0" fontId="1" fillId="0" borderId="0" xfId="0" applyFont="1" applyAlignment="1">
      <alignment wrapText="1"/>
    </xf>
    <xf numFmtId="0" fontId="0" fillId="0" borderId="0" xfId="0" applyNumberFormat="1" applyAlignment="1">
      <alignment wrapText="1"/>
    </xf>
    <xf numFmtId="0" fontId="18" fillId="0" borderId="0" xfId="3" applyFont="1" applyAlignment="1">
      <alignment horizontal="center" vertical="center" wrapText="1"/>
    </xf>
    <xf numFmtId="10" fontId="0" fillId="5" borderId="18" xfId="0" applyNumberFormat="1" applyFill="1" applyBorder="1" applyAlignment="1">
      <alignment horizontal="right"/>
    </xf>
    <xf numFmtId="17" fontId="1" fillId="0" borderId="30" xfId="3" applyNumberFormat="1" applyBorder="1" applyAlignment="1">
      <alignment horizontal="center"/>
    </xf>
    <xf numFmtId="0" fontId="13" fillId="0" borderId="30" xfId="0" applyFont="1" applyBorder="1" applyAlignment="1">
      <alignment horizontal="center"/>
    </xf>
    <xf numFmtId="164" fontId="1" fillId="0" borderId="0" xfId="3" applyNumberFormat="1"/>
    <xf numFmtId="10" fontId="0" fillId="0" borderId="0" xfId="0" applyNumberFormat="1"/>
    <xf numFmtId="0" fontId="18" fillId="0" borderId="0" xfId="3" applyFont="1" applyAlignment="1">
      <alignment horizontal="center" vertical="center" wrapText="1"/>
    </xf>
    <xf numFmtId="0" fontId="1" fillId="0" borderId="0" xfId="3" applyAlignment="1">
      <alignment horizontal="left" wrapText="1"/>
    </xf>
    <xf numFmtId="0" fontId="0" fillId="2" borderId="5" xfId="0" applyFill="1" applyBorder="1" applyAlignment="1">
      <alignment horizontal="right"/>
    </xf>
    <xf numFmtId="0" fontId="0" fillId="2" borderId="6" xfId="0" applyFill="1" applyBorder="1" applyAlignment="1">
      <alignment horizontal="right"/>
    </xf>
    <xf numFmtId="0" fontId="0" fillId="2" borderId="7" xfId="0" applyFill="1" applyBorder="1" applyAlignment="1">
      <alignment horizontal="right"/>
    </xf>
    <xf numFmtId="164" fontId="0" fillId="0" borderId="37" xfId="1" applyNumberFormat="1" applyFont="1" applyFill="1" applyBorder="1" applyAlignment="1" applyProtection="1">
      <alignment horizontal="right"/>
      <protection locked="0"/>
    </xf>
  </cellXfs>
  <cellStyles count="7">
    <cellStyle name="Comma" xfId="1" builtinId="3"/>
    <cellStyle name="Comma 2" xfId="5" xr:uid="{CAFEC008-A5BF-4540-8956-8CA7050BCDDB}"/>
    <cellStyle name="Hyperlink" xfId="4" builtinId="8"/>
    <cellStyle name="Normal" xfId="0" builtinId="0"/>
    <cellStyle name="Normal 2" xfId="3" xr:uid="{00000000-0005-0000-0000-000002000000}"/>
    <cellStyle name="Per cent" xfId="2" builtinId="5"/>
    <cellStyle name="Percent 2" xfId="6" xr:uid="{3962DD1B-8185-43DD-8598-56266148F60C}"/>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Spend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Data!$B$6</c:f>
              <c:strCache>
                <c:ptCount val="1"/>
                <c:pt idx="0">
                  <c:v>2020/21</c:v>
                </c:pt>
              </c:strCache>
            </c:strRef>
          </c:tx>
          <c:spPr>
            <a:ln w="28575" cap="rnd">
              <a:solidFill>
                <a:schemeClr val="accent1"/>
              </a:solidFill>
              <a:round/>
            </a:ln>
            <a:effectLst/>
          </c:spPr>
          <c:marker>
            <c:symbol val="none"/>
          </c:marker>
          <c:cat>
            <c:strRef>
              <c:f>Data!$A$7:$A$18</c:f>
              <c:strCache>
                <c:ptCount val="12"/>
                <c:pt idx="0">
                  <c:v>April</c:v>
                </c:pt>
                <c:pt idx="1">
                  <c:v>May</c:v>
                </c:pt>
                <c:pt idx="2">
                  <c:v>June</c:v>
                </c:pt>
                <c:pt idx="3">
                  <c:v>July</c:v>
                </c:pt>
                <c:pt idx="4">
                  <c:v>August</c:v>
                </c:pt>
                <c:pt idx="5">
                  <c:v>September</c:v>
                </c:pt>
                <c:pt idx="6">
                  <c:v>October</c:v>
                </c:pt>
                <c:pt idx="7">
                  <c:v>November</c:v>
                </c:pt>
                <c:pt idx="8">
                  <c:v>December</c:v>
                </c:pt>
                <c:pt idx="9">
                  <c:v>January</c:v>
                </c:pt>
                <c:pt idx="10">
                  <c:v>February</c:v>
                </c:pt>
                <c:pt idx="11">
                  <c:v>March</c:v>
                </c:pt>
              </c:strCache>
            </c:strRef>
          </c:cat>
          <c:val>
            <c:numRef>
              <c:f>Data!$B$7:$B$18</c:f>
              <c:numCache>
                <c:formatCode>_-* #,##0_-;\-* #,##0_-;_-* "-"??_-;_-@_-</c:formatCode>
                <c:ptCount val="12"/>
                <c:pt idx="0">
                  <c:v>734019498</c:v>
                </c:pt>
                <c:pt idx="1">
                  <c:v>688525672</c:v>
                </c:pt>
                <c:pt idx="2">
                  <c:v>723897914</c:v>
                </c:pt>
                <c:pt idx="3">
                  <c:v>748296870</c:v>
                </c:pt>
                <c:pt idx="4">
                  <c:v>676867632</c:v>
                </c:pt>
                <c:pt idx="5">
                  <c:v>759906815</c:v>
                </c:pt>
                <c:pt idx="6">
                  <c:v>784077994</c:v>
                </c:pt>
                <c:pt idx="7">
                  <c:v>733337818</c:v>
                </c:pt>
                <c:pt idx="8">
                  <c:v>773886385</c:v>
                </c:pt>
                <c:pt idx="9">
                  <c:v>729626495</c:v>
                </c:pt>
                <c:pt idx="10">
                  <c:v>682380296</c:v>
                </c:pt>
                <c:pt idx="11">
                  <c:v>764304285</c:v>
                </c:pt>
              </c:numCache>
            </c:numRef>
          </c:val>
          <c:smooth val="0"/>
          <c:extLst>
            <c:ext xmlns:c16="http://schemas.microsoft.com/office/drawing/2014/chart" uri="{C3380CC4-5D6E-409C-BE32-E72D297353CC}">
              <c16:uniqueId val="{00000000-E3A8-4ED1-8B9D-285B95B74BFF}"/>
            </c:ext>
          </c:extLst>
        </c:ser>
        <c:ser>
          <c:idx val="1"/>
          <c:order val="1"/>
          <c:tx>
            <c:strRef>
              <c:f>Data!$C$6</c:f>
              <c:strCache>
                <c:ptCount val="1"/>
                <c:pt idx="0">
                  <c:v>2021/22</c:v>
                </c:pt>
              </c:strCache>
            </c:strRef>
          </c:tx>
          <c:spPr>
            <a:ln w="28575" cap="rnd">
              <a:solidFill>
                <a:schemeClr val="accent2"/>
              </a:solidFill>
              <a:round/>
            </a:ln>
            <a:effectLst/>
          </c:spPr>
          <c:marker>
            <c:symbol val="none"/>
          </c:marker>
          <c:cat>
            <c:strRef>
              <c:f>Data!$A$7:$A$18</c:f>
              <c:strCache>
                <c:ptCount val="12"/>
                <c:pt idx="0">
                  <c:v>April</c:v>
                </c:pt>
                <c:pt idx="1">
                  <c:v>May</c:v>
                </c:pt>
                <c:pt idx="2">
                  <c:v>June</c:v>
                </c:pt>
                <c:pt idx="3">
                  <c:v>July</c:v>
                </c:pt>
                <c:pt idx="4">
                  <c:v>August</c:v>
                </c:pt>
                <c:pt idx="5">
                  <c:v>September</c:v>
                </c:pt>
                <c:pt idx="6">
                  <c:v>October</c:v>
                </c:pt>
                <c:pt idx="7">
                  <c:v>November</c:v>
                </c:pt>
                <c:pt idx="8">
                  <c:v>December</c:v>
                </c:pt>
                <c:pt idx="9">
                  <c:v>January</c:v>
                </c:pt>
                <c:pt idx="10">
                  <c:v>February</c:v>
                </c:pt>
                <c:pt idx="11">
                  <c:v>March</c:v>
                </c:pt>
              </c:strCache>
            </c:strRef>
          </c:cat>
          <c:val>
            <c:numRef>
              <c:f>Data!$C$7:$C$18</c:f>
              <c:numCache>
                <c:formatCode>_-* #,##0_-;\-* #,##0_-;_-* "-"??_-;_-@_-</c:formatCode>
                <c:ptCount val="12"/>
                <c:pt idx="0">
                  <c:v>740130884</c:v>
                </c:pt>
                <c:pt idx="1">
                  <c:v>710224345</c:v>
                </c:pt>
                <c:pt idx="2">
                  <c:v>764962531</c:v>
                </c:pt>
                <c:pt idx="3">
                  <c:v>745307024</c:v>
                </c:pt>
                <c:pt idx="4">
                  <c:v>706930767</c:v>
                </c:pt>
                <c:pt idx="5">
                  <c:v>765664313</c:v>
                </c:pt>
                <c:pt idx="6">
                  <c:v>747291960</c:v>
                </c:pt>
                <c:pt idx="7">
                  <c:v>760653107</c:v>
                </c:pt>
                <c:pt idx="8">
                  <c:v>788130478</c:v>
                </c:pt>
                <c:pt idx="9">
                  <c:v>719891858</c:v>
                </c:pt>
                <c:pt idx="10">
                  <c:v>675443371</c:v>
                </c:pt>
                <c:pt idx="11">
                  <c:v>772008329</c:v>
                </c:pt>
              </c:numCache>
            </c:numRef>
          </c:val>
          <c:smooth val="0"/>
          <c:extLst>
            <c:ext xmlns:c16="http://schemas.microsoft.com/office/drawing/2014/chart" uri="{C3380CC4-5D6E-409C-BE32-E72D297353CC}">
              <c16:uniqueId val="{00000001-E3A8-4ED1-8B9D-285B95B74BFF}"/>
            </c:ext>
          </c:extLst>
        </c:ser>
        <c:ser>
          <c:idx val="2"/>
          <c:order val="2"/>
          <c:tx>
            <c:strRef>
              <c:f>Data!$D$6</c:f>
              <c:strCache>
                <c:ptCount val="1"/>
                <c:pt idx="0">
                  <c:v>2022/23</c:v>
                </c:pt>
              </c:strCache>
            </c:strRef>
          </c:tx>
          <c:spPr>
            <a:ln w="28575" cap="rnd">
              <a:solidFill>
                <a:schemeClr val="accent3"/>
              </a:solidFill>
              <a:round/>
            </a:ln>
            <a:effectLst/>
          </c:spPr>
          <c:marker>
            <c:symbol val="none"/>
          </c:marker>
          <c:cat>
            <c:strRef>
              <c:f>Data!$A$7:$A$18</c:f>
              <c:strCache>
                <c:ptCount val="12"/>
                <c:pt idx="0">
                  <c:v>April</c:v>
                </c:pt>
                <c:pt idx="1">
                  <c:v>May</c:v>
                </c:pt>
                <c:pt idx="2">
                  <c:v>June</c:v>
                </c:pt>
                <c:pt idx="3">
                  <c:v>July</c:v>
                </c:pt>
                <c:pt idx="4">
                  <c:v>August</c:v>
                </c:pt>
                <c:pt idx="5">
                  <c:v>September</c:v>
                </c:pt>
                <c:pt idx="6">
                  <c:v>October</c:v>
                </c:pt>
                <c:pt idx="7">
                  <c:v>November</c:v>
                </c:pt>
                <c:pt idx="8">
                  <c:v>December</c:v>
                </c:pt>
                <c:pt idx="9">
                  <c:v>January</c:v>
                </c:pt>
                <c:pt idx="10">
                  <c:v>February</c:v>
                </c:pt>
                <c:pt idx="11">
                  <c:v>March</c:v>
                </c:pt>
              </c:strCache>
            </c:strRef>
          </c:cat>
          <c:val>
            <c:numRef>
              <c:f>Data!$D$7:$D$18</c:f>
              <c:numCache>
                <c:formatCode>_-* #,##0_-;\-* #,##0_-;_-* "-"??_-;_-@_-</c:formatCode>
                <c:ptCount val="12"/>
                <c:pt idx="0">
                  <c:v>715641877</c:v>
                </c:pt>
                <c:pt idx="1">
                  <c:v>758396524</c:v>
                </c:pt>
                <c:pt idx="2">
                  <c:v>747213071</c:v>
                </c:pt>
                <c:pt idx="3">
                  <c:v>761617539</c:v>
                </c:pt>
                <c:pt idx="4">
                  <c:v>780603879</c:v>
                </c:pt>
                <c:pt idx="5">
                  <c:v>800911367</c:v>
                </c:pt>
                <c:pt idx="6">
                  <c:v>838821711</c:v>
                </c:pt>
                <c:pt idx="7">
                  <c:v>835927099</c:v>
                </c:pt>
                <c:pt idx="8">
                  <c:v>856985364</c:v>
                </c:pt>
                <c:pt idx="9">
                  <c:v>843472628</c:v>
                </c:pt>
                <c:pt idx="10">
                  <c:v>772666207</c:v>
                </c:pt>
                <c:pt idx="11">
                  <c:v>881429601</c:v>
                </c:pt>
              </c:numCache>
            </c:numRef>
          </c:val>
          <c:smooth val="0"/>
          <c:extLst>
            <c:ext xmlns:c16="http://schemas.microsoft.com/office/drawing/2014/chart" uri="{C3380CC4-5D6E-409C-BE32-E72D297353CC}">
              <c16:uniqueId val="{00000002-E3A8-4ED1-8B9D-285B95B74BFF}"/>
            </c:ext>
          </c:extLst>
        </c:ser>
        <c:ser>
          <c:idx val="3"/>
          <c:order val="3"/>
          <c:tx>
            <c:strRef>
              <c:f>Data!$E$6</c:f>
              <c:strCache>
                <c:ptCount val="1"/>
                <c:pt idx="0">
                  <c:v>2023/24</c:v>
                </c:pt>
              </c:strCache>
            </c:strRef>
          </c:tx>
          <c:spPr>
            <a:ln w="28575" cap="rnd">
              <a:solidFill>
                <a:schemeClr val="accent4"/>
              </a:solidFill>
              <a:round/>
            </a:ln>
            <a:effectLst/>
          </c:spPr>
          <c:marker>
            <c:symbol val="none"/>
          </c:marker>
          <c:cat>
            <c:strRef>
              <c:f>Data!$A$7:$A$18</c:f>
              <c:strCache>
                <c:ptCount val="12"/>
                <c:pt idx="0">
                  <c:v>April</c:v>
                </c:pt>
                <c:pt idx="1">
                  <c:v>May</c:v>
                </c:pt>
                <c:pt idx="2">
                  <c:v>June</c:v>
                </c:pt>
                <c:pt idx="3">
                  <c:v>July</c:v>
                </c:pt>
                <c:pt idx="4">
                  <c:v>August</c:v>
                </c:pt>
                <c:pt idx="5">
                  <c:v>September</c:v>
                </c:pt>
                <c:pt idx="6">
                  <c:v>October</c:v>
                </c:pt>
                <c:pt idx="7">
                  <c:v>November</c:v>
                </c:pt>
                <c:pt idx="8">
                  <c:v>December</c:v>
                </c:pt>
                <c:pt idx="9">
                  <c:v>January</c:v>
                </c:pt>
                <c:pt idx="10">
                  <c:v>February</c:v>
                </c:pt>
                <c:pt idx="11">
                  <c:v>March</c:v>
                </c:pt>
              </c:strCache>
            </c:strRef>
          </c:cat>
          <c:val>
            <c:numRef>
              <c:f>Data!$E$7:$E$18</c:f>
              <c:numCache>
                <c:formatCode>_-* #,##0_-;\-* #,##0_-;_-* "-"??_-;_-@_-</c:formatCode>
                <c:ptCount val="12"/>
                <c:pt idx="0">
                  <c:v>784240796</c:v>
                </c:pt>
                <c:pt idx="1">
                  <c:v>850180646</c:v>
                </c:pt>
                <c:pt idx="2">
                  <c:v>870835851</c:v>
                </c:pt>
                <c:pt idx="3">
                  <c:v>839204601</c:v>
                </c:pt>
                <c:pt idx="4">
                  <c:v>849975476</c:v>
                </c:pt>
                <c:pt idx="5">
                  <c:v>867235776</c:v>
                </c:pt>
                <c:pt idx="6">
                  <c:v>866732055</c:v>
                </c:pt>
                <c:pt idx="7">
                  <c:v>848718412</c:v>
                </c:pt>
                <c:pt idx="8">
                  <c:v>843625377</c:v>
                </c:pt>
                <c:pt idx="9">
                  <c:v>853908983</c:v>
                </c:pt>
                <c:pt idx="10">
                  <c:v>802975738</c:v>
                </c:pt>
                <c:pt idx="11">
                  <c:v>814895820</c:v>
                </c:pt>
              </c:numCache>
            </c:numRef>
          </c:val>
          <c:smooth val="0"/>
          <c:extLst>
            <c:ext xmlns:c16="http://schemas.microsoft.com/office/drawing/2014/chart" uri="{C3380CC4-5D6E-409C-BE32-E72D297353CC}">
              <c16:uniqueId val="{00000003-E3A8-4ED1-8B9D-285B95B74BFF}"/>
            </c:ext>
          </c:extLst>
        </c:ser>
        <c:ser>
          <c:idx val="4"/>
          <c:order val="4"/>
          <c:tx>
            <c:strRef>
              <c:f>Data!$F$6</c:f>
              <c:strCache>
                <c:ptCount val="1"/>
                <c:pt idx="0">
                  <c:v>2024/25</c:v>
                </c:pt>
              </c:strCache>
            </c:strRef>
          </c:tx>
          <c:spPr>
            <a:ln w="28575" cap="rnd">
              <a:solidFill>
                <a:schemeClr val="accent5"/>
              </a:solidFill>
              <a:round/>
            </a:ln>
            <a:effectLst/>
          </c:spPr>
          <c:marker>
            <c:symbol val="none"/>
          </c:marker>
          <c:cat>
            <c:strRef>
              <c:f>Data!$A$7:$A$18</c:f>
              <c:strCache>
                <c:ptCount val="12"/>
                <c:pt idx="0">
                  <c:v>April</c:v>
                </c:pt>
                <c:pt idx="1">
                  <c:v>May</c:v>
                </c:pt>
                <c:pt idx="2">
                  <c:v>June</c:v>
                </c:pt>
                <c:pt idx="3">
                  <c:v>July</c:v>
                </c:pt>
                <c:pt idx="4">
                  <c:v>August</c:v>
                </c:pt>
                <c:pt idx="5">
                  <c:v>September</c:v>
                </c:pt>
                <c:pt idx="6">
                  <c:v>October</c:v>
                </c:pt>
                <c:pt idx="7">
                  <c:v>November</c:v>
                </c:pt>
                <c:pt idx="8">
                  <c:v>December</c:v>
                </c:pt>
                <c:pt idx="9">
                  <c:v>January</c:v>
                </c:pt>
                <c:pt idx="10">
                  <c:v>February</c:v>
                </c:pt>
                <c:pt idx="11">
                  <c:v>March</c:v>
                </c:pt>
              </c:strCache>
            </c:strRef>
          </c:cat>
          <c:val>
            <c:numRef>
              <c:f>Data!$F$7:$F$18</c:f>
              <c:numCache>
                <c:formatCode>_-* #,##0_-;\-* #,##0_-;_-* "-"??_-;_-@_-</c:formatCode>
                <c:ptCount val="12"/>
                <c:pt idx="0">
                  <c:v>838304272</c:v>
                </c:pt>
                <c:pt idx="1">
                  <c:v>860261036</c:v>
                </c:pt>
                <c:pt idx="2">
                  <c:v>818293525</c:v>
                </c:pt>
                <c:pt idx="3">
                  <c:v>906726125</c:v>
                </c:pt>
                <c:pt idx="4">
                  <c:v>871216220</c:v>
                </c:pt>
                <c:pt idx="5">
                  <c:v>836302017</c:v>
                </c:pt>
                <c:pt idx="6">
                  <c:v>934310445</c:v>
                </c:pt>
                <c:pt idx="7">
                  <c:v>853846241</c:v>
                </c:pt>
                <c:pt idx="8">
                  <c:v>871043643</c:v>
                </c:pt>
                <c:pt idx="9">
                  <c:v>877827479</c:v>
                </c:pt>
                <c:pt idx="10">
                  <c:v>783200998</c:v>
                </c:pt>
                <c:pt idx="11">
                  <c:v>836417786</c:v>
                </c:pt>
              </c:numCache>
            </c:numRef>
          </c:val>
          <c:smooth val="0"/>
          <c:extLst>
            <c:ext xmlns:c16="http://schemas.microsoft.com/office/drawing/2014/chart" uri="{C3380CC4-5D6E-409C-BE32-E72D297353CC}">
              <c16:uniqueId val="{00000004-E3A8-4ED1-8B9D-285B95B74BFF}"/>
            </c:ext>
          </c:extLst>
        </c:ser>
        <c:ser>
          <c:idx val="5"/>
          <c:order val="5"/>
          <c:tx>
            <c:strRef>
              <c:f>Data!$G$6</c:f>
              <c:strCache>
                <c:ptCount val="1"/>
                <c:pt idx="0">
                  <c:v>2025/26</c:v>
                </c:pt>
              </c:strCache>
            </c:strRef>
          </c:tx>
          <c:spPr>
            <a:ln w="28575" cap="rnd">
              <a:solidFill>
                <a:schemeClr val="accent6"/>
              </a:solidFill>
              <a:round/>
            </a:ln>
            <a:effectLst/>
          </c:spPr>
          <c:marker>
            <c:symbol val="none"/>
          </c:marker>
          <c:cat>
            <c:strRef>
              <c:f>Data!$A$7:$A$18</c:f>
              <c:strCache>
                <c:ptCount val="12"/>
                <c:pt idx="0">
                  <c:v>April</c:v>
                </c:pt>
                <c:pt idx="1">
                  <c:v>May</c:v>
                </c:pt>
                <c:pt idx="2">
                  <c:v>June</c:v>
                </c:pt>
                <c:pt idx="3">
                  <c:v>July</c:v>
                </c:pt>
                <c:pt idx="4">
                  <c:v>August</c:v>
                </c:pt>
                <c:pt idx="5">
                  <c:v>September</c:v>
                </c:pt>
                <c:pt idx="6">
                  <c:v>October</c:v>
                </c:pt>
                <c:pt idx="7">
                  <c:v>November</c:v>
                </c:pt>
                <c:pt idx="8">
                  <c:v>December</c:v>
                </c:pt>
                <c:pt idx="9">
                  <c:v>January</c:v>
                </c:pt>
                <c:pt idx="10">
                  <c:v>February</c:v>
                </c:pt>
                <c:pt idx="11">
                  <c:v>March</c:v>
                </c:pt>
              </c:strCache>
            </c:strRef>
          </c:cat>
          <c:val>
            <c:numRef>
              <c:f>Data!$G$7:$G$18</c:f>
              <c:numCache>
                <c:formatCode>_-* #,##0_-;\-* #,##0_-;_-* "-"??_-;_-@_-</c:formatCode>
                <c:ptCount val="12"/>
              </c:numCache>
            </c:numRef>
          </c:val>
          <c:smooth val="0"/>
          <c:extLst>
            <c:ext xmlns:c16="http://schemas.microsoft.com/office/drawing/2014/chart" uri="{C3380CC4-5D6E-409C-BE32-E72D297353CC}">
              <c16:uniqueId val="{00000005-E3A8-4ED1-8B9D-285B95B74BFF}"/>
            </c:ext>
          </c:extLst>
        </c:ser>
        <c:dLbls>
          <c:showLegendKey val="0"/>
          <c:showVal val="0"/>
          <c:showCatName val="0"/>
          <c:showSerName val="0"/>
          <c:showPercent val="0"/>
          <c:showBubbleSize val="0"/>
        </c:dLbls>
        <c:smooth val="0"/>
        <c:axId val="429747952"/>
        <c:axId val="429752272"/>
      </c:lineChart>
      <c:catAx>
        <c:axId val="429747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9752272"/>
        <c:crosses val="autoZero"/>
        <c:auto val="1"/>
        <c:lblAlgn val="ctr"/>
        <c:lblOffset val="100"/>
        <c:noMultiLvlLbl val="0"/>
      </c:catAx>
      <c:valAx>
        <c:axId val="42975227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97479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True Spend vs Model Forecast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Forecasting!$C$3</c:f>
              <c:strCache>
                <c:ptCount val="1"/>
                <c:pt idx="0">
                  <c:v>True Values</c:v>
                </c:pt>
              </c:strCache>
            </c:strRef>
          </c:tx>
          <c:spPr>
            <a:solidFill>
              <a:schemeClr val="accent1"/>
            </a:solidFill>
            <a:ln>
              <a:noFill/>
            </a:ln>
            <a:effectLst/>
          </c:spPr>
          <c:invertIfNegative val="0"/>
          <c:cat>
            <c:strRef>
              <c:f>Forecasting!$B$4:$B$15</c:f>
              <c:strCache>
                <c:ptCount val="12"/>
                <c:pt idx="0">
                  <c:v>April</c:v>
                </c:pt>
                <c:pt idx="1">
                  <c:v>May</c:v>
                </c:pt>
                <c:pt idx="2">
                  <c:v>June</c:v>
                </c:pt>
                <c:pt idx="3">
                  <c:v>July</c:v>
                </c:pt>
                <c:pt idx="4">
                  <c:v>August</c:v>
                </c:pt>
                <c:pt idx="5">
                  <c:v>September</c:v>
                </c:pt>
                <c:pt idx="6">
                  <c:v>October</c:v>
                </c:pt>
                <c:pt idx="7">
                  <c:v>November</c:v>
                </c:pt>
                <c:pt idx="8">
                  <c:v>December</c:v>
                </c:pt>
                <c:pt idx="9">
                  <c:v>January</c:v>
                </c:pt>
                <c:pt idx="10">
                  <c:v>February</c:v>
                </c:pt>
                <c:pt idx="11">
                  <c:v>March</c:v>
                </c:pt>
              </c:strCache>
            </c:strRef>
          </c:cat>
          <c:val>
            <c:numRef>
              <c:f>Forecasting!$C$4:$C$15</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AC4-44C3-831B-20D4B0654910}"/>
            </c:ext>
          </c:extLst>
        </c:ser>
        <c:ser>
          <c:idx val="1"/>
          <c:order val="1"/>
          <c:tx>
            <c:strRef>
              <c:f>Forecasting!$D$3</c:f>
              <c:strCache>
                <c:ptCount val="1"/>
                <c:pt idx="0">
                  <c:v>Model Forecast</c:v>
                </c:pt>
              </c:strCache>
            </c:strRef>
          </c:tx>
          <c:spPr>
            <a:solidFill>
              <a:schemeClr val="accent2"/>
            </a:solidFill>
            <a:ln>
              <a:noFill/>
            </a:ln>
            <a:effectLst/>
          </c:spPr>
          <c:invertIfNegative val="0"/>
          <c:cat>
            <c:strRef>
              <c:f>Forecasting!$B$4:$B$15</c:f>
              <c:strCache>
                <c:ptCount val="12"/>
                <c:pt idx="0">
                  <c:v>April</c:v>
                </c:pt>
                <c:pt idx="1">
                  <c:v>May</c:v>
                </c:pt>
                <c:pt idx="2">
                  <c:v>June</c:v>
                </c:pt>
                <c:pt idx="3">
                  <c:v>July</c:v>
                </c:pt>
                <c:pt idx="4">
                  <c:v>August</c:v>
                </c:pt>
                <c:pt idx="5">
                  <c:v>September</c:v>
                </c:pt>
                <c:pt idx="6">
                  <c:v>October</c:v>
                </c:pt>
                <c:pt idx="7">
                  <c:v>November</c:v>
                </c:pt>
                <c:pt idx="8">
                  <c:v>December</c:v>
                </c:pt>
                <c:pt idx="9">
                  <c:v>January</c:v>
                </c:pt>
                <c:pt idx="10">
                  <c:v>February</c:v>
                </c:pt>
                <c:pt idx="11">
                  <c:v>March</c:v>
                </c:pt>
              </c:strCache>
            </c:strRef>
          </c:cat>
          <c:val>
            <c:numRef>
              <c:f>Forecasting!$D$4:$D$15</c:f>
              <c:numCache>
                <c:formatCode>_-* #,##0_-;\-* #,##0_-;_-* "-"??_-;_-@_-</c:formatCode>
                <c:ptCount val="12"/>
                <c:pt idx="0">
                  <c:v>855877366.7219007</c:v>
                </c:pt>
                <c:pt idx="1">
                  <c:v>891025595.95980561</c:v>
                </c:pt>
                <c:pt idx="2">
                  <c:v>864974622.82075548</c:v>
                </c:pt>
                <c:pt idx="3">
                  <c:v>917191367.66172695</c:v>
                </c:pt>
                <c:pt idx="4">
                  <c:v>851595105.10063195</c:v>
                </c:pt>
                <c:pt idx="5">
                  <c:v>924969786.07800353</c:v>
                </c:pt>
                <c:pt idx="6">
                  <c:v>970499541.76129293</c:v>
                </c:pt>
                <c:pt idx="7">
                  <c:v>884237259.3633306</c:v>
                </c:pt>
                <c:pt idx="8">
                  <c:v>971561411.02744162</c:v>
                </c:pt>
                <c:pt idx="9">
                  <c:v>946634387.88290346</c:v>
                </c:pt>
                <c:pt idx="10">
                  <c:v>837081175.16130507</c:v>
                </c:pt>
                <c:pt idx="11">
                  <c:v>913987082.13408244</c:v>
                </c:pt>
              </c:numCache>
            </c:numRef>
          </c:val>
          <c:extLst>
            <c:ext xmlns:c16="http://schemas.microsoft.com/office/drawing/2014/chart" uri="{C3380CC4-5D6E-409C-BE32-E72D297353CC}">
              <c16:uniqueId val="{00000001-4AC4-44C3-831B-20D4B0654910}"/>
            </c:ext>
          </c:extLst>
        </c:ser>
        <c:dLbls>
          <c:showLegendKey val="0"/>
          <c:showVal val="0"/>
          <c:showCatName val="0"/>
          <c:showSerName val="0"/>
          <c:showPercent val="0"/>
          <c:showBubbleSize val="0"/>
        </c:dLbls>
        <c:gapWidth val="219"/>
        <c:overlap val="-27"/>
        <c:axId val="921973712"/>
        <c:axId val="921974192"/>
      </c:barChart>
      <c:catAx>
        <c:axId val="921973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1974192"/>
        <c:crosses val="autoZero"/>
        <c:auto val="1"/>
        <c:lblAlgn val="ctr"/>
        <c:lblOffset val="100"/>
        <c:noMultiLvlLbl val="0"/>
      </c:catAx>
      <c:valAx>
        <c:axId val="92197419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1973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8</xdr:col>
      <xdr:colOff>300990</xdr:colOff>
      <xdr:row>20</xdr:row>
      <xdr:rowOff>24130</xdr:rowOff>
    </xdr:to>
    <xdr:graphicFrame macro="">
      <xdr:nvGraphicFramePr>
        <xdr:cNvPr id="2" name="Chart 1">
          <a:extLst>
            <a:ext uri="{FF2B5EF4-FFF2-40B4-BE49-F238E27FC236}">
              <a16:creationId xmlns:a16="http://schemas.microsoft.com/office/drawing/2014/main" id="{7AB3424B-B934-438C-80EE-D463CF2C4C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3</xdr:row>
      <xdr:rowOff>0</xdr:rowOff>
    </xdr:from>
    <xdr:to>
      <xdr:col>17</xdr:col>
      <xdr:colOff>303530</xdr:colOff>
      <xdr:row>20</xdr:row>
      <xdr:rowOff>20320</xdr:rowOff>
    </xdr:to>
    <xdr:graphicFrame macro="">
      <xdr:nvGraphicFramePr>
        <xdr:cNvPr id="3" name="Chart 2">
          <a:extLst>
            <a:ext uri="{FF2B5EF4-FFF2-40B4-BE49-F238E27FC236}">
              <a16:creationId xmlns:a16="http://schemas.microsoft.com/office/drawing/2014/main" id="{AD907A95-9AFD-4CCE-9E61-2CF3A34928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PAEIG/RPA%203/FHS2/In-year%20forecasts/Resource%20forecasts/2012-13/Versions%20for%20IC%20website/20120516%20National%20Forecast%20-%20exc%20DCM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Forecast"/>
      <sheetName val="Forecast Updated"/>
      <sheetName val="Data"/>
      <sheetName val="Actual monthly spend"/>
      <sheetName val="Policy"/>
      <sheetName val="Month Rank"/>
      <sheetName val="Dispensing Days"/>
      <sheetName val="Regression Feed xyrs"/>
      <sheetName val="Regression Feed FUpdated"/>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t="str">
            <v>2006/07</v>
          </cell>
          <cell r="C3" t="str">
            <v>2007/08</v>
          </cell>
          <cell r="D3" t="str">
            <v>2008/09</v>
          </cell>
          <cell r="E3" t="str">
            <v>2009/10</v>
          </cell>
          <cell r="F3" t="str">
            <v>2010/11</v>
          </cell>
          <cell r="G3" t="str">
            <v>2011/12</v>
          </cell>
          <cell r="H3" t="str">
            <v>2012/13</v>
          </cell>
          <cell r="I3" t="str">
            <v>2013/14</v>
          </cell>
          <cell r="J3" t="str">
            <v>2014/15</v>
          </cell>
          <cell r="K3" t="str">
            <v>2015/16</v>
          </cell>
          <cell r="L3" t="str">
            <v>2016/17</v>
          </cell>
        </row>
        <row r="4">
          <cell r="A4" t="str">
            <v>April</v>
          </cell>
          <cell r="B4">
            <v>24</v>
          </cell>
          <cell r="C4">
            <v>23</v>
          </cell>
          <cell r="D4">
            <v>26</v>
          </cell>
          <cell r="E4">
            <v>24</v>
          </cell>
          <cell r="F4">
            <v>24</v>
          </cell>
          <cell r="G4">
            <v>23</v>
          </cell>
          <cell r="H4">
            <v>23</v>
          </cell>
        </row>
        <row r="5">
          <cell r="A5" t="str">
            <v>May</v>
          </cell>
          <cell r="B5">
            <v>25</v>
          </cell>
          <cell r="C5">
            <v>25</v>
          </cell>
          <cell r="D5">
            <v>25</v>
          </cell>
          <cell r="E5">
            <v>24</v>
          </cell>
          <cell r="F5">
            <v>24</v>
          </cell>
          <cell r="G5">
            <v>24</v>
          </cell>
          <cell r="H5">
            <v>26</v>
          </cell>
        </row>
        <row r="6">
          <cell r="A6" t="str">
            <v>June</v>
          </cell>
          <cell r="B6">
            <v>26</v>
          </cell>
          <cell r="C6">
            <v>26</v>
          </cell>
          <cell r="D6">
            <v>25</v>
          </cell>
          <cell r="E6">
            <v>26</v>
          </cell>
          <cell r="F6">
            <v>26</v>
          </cell>
          <cell r="G6">
            <v>26</v>
          </cell>
          <cell r="H6">
            <v>24</v>
          </cell>
        </row>
        <row r="7">
          <cell r="A7" t="str">
            <v>July</v>
          </cell>
          <cell r="B7">
            <v>26</v>
          </cell>
          <cell r="C7">
            <v>26</v>
          </cell>
          <cell r="D7">
            <v>27</v>
          </cell>
          <cell r="E7">
            <v>27</v>
          </cell>
          <cell r="F7">
            <v>27</v>
          </cell>
          <cell r="G7">
            <v>26</v>
          </cell>
          <cell r="H7">
            <v>26</v>
          </cell>
        </row>
        <row r="8">
          <cell r="A8" t="str">
            <v>August</v>
          </cell>
          <cell r="B8">
            <v>26</v>
          </cell>
          <cell r="C8">
            <v>26</v>
          </cell>
          <cell r="D8">
            <v>25</v>
          </cell>
          <cell r="E8">
            <v>25</v>
          </cell>
          <cell r="F8">
            <v>25</v>
          </cell>
          <cell r="G8">
            <v>26</v>
          </cell>
          <cell r="H8">
            <v>26</v>
          </cell>
        </row>
        <row r="9">
          <cell r="A9" t="str">
            <v>September</v>
          </cell>
          <cell r="B9">
            <v>26</v>
          </cell>
          <cell r="C9">
            <v>25</v>
          </cell>
          <cell r="D9">
            <v>26</v>
          </cell>
          <cell r="E9">
            <v>26</v>
          </cell>
          <cell r="F9">
            <v>26</v>
          </cell>
          <cell r="G9">
            <v>26</v>
          </cell>
          <cell r="H9">
            <v>25</v>
          </cell>
        </row>
        <row r="10">
          <cell r="A10" t="str">
            <v>October</v>
          </cell>
          <cell r="B10">
            <v>26</v>
          </cell>
          <cell r="C10">
            <v>27</v>
          </cell>
          <cell r="D10">
            <v>27</v>
          </cell>
          <cell r="E10">
            <v>27</v>
          </cell>
          <cell r="F10">
            <v>26</v>
          </cell>
          <cell r="G10">
            <v>26</v>
          </cell>
          <cell r="H10">
            <v>27</v>
          </cell>
        </row>
        <row r="11">
          <cell r="A11" t="str">
            <v>November</v>
          </cell>
          <cell r="B11">
            <v>26</v>
          </cell>
          <cell r="C11">
            <v>26</v>
          </cell>
          <cell r="D11">
            <v>25</v>
          </cell>
          <cell r="E11">
            <v>25</v>
          </cell>
          <cell r="F11">
            <v>26</v>
          </cell>
          <cell r="G11">
            <v>26</v>
          </cell>
          <cell r="H11">
            <v>26</v>
          </cell>
        </row>
        <row r="12">
          <cell r="A12" t="str">
            <v>December</v>
          </cell>
          <cell r="B12">
            <v>24</v>
          </cell>
          <cell r="C12">
            <v>24</v>
          </cell>
          <cell r="D12">
            <v>25</v>
          </cell>
          <cell r="E12">
            <v>24</v>
          </cell>
          <cell r="F12">
            <v>24</v>
          </cell>
          <cell r="G12">
            <v>25</v>
          </cell>
          <cell r="H12">
            <v>24</v>
          </cell>
        </row>
        <row r="13">
          <cell r="A13" t="str">
            <v>January</v>
          </cell>
          <cell r="B13">
            <v>26</v>
          </cell>
          <cell r="C13">
            <v>26</v>
          </cell>
          <cell r="D13">
            <v>26</v>
          </cell>
          <cell r="E13">
            <v>25</v>
          </cell>
          <cell r="F13">
            <v>24</v>
          </cell>
          <cell r="G13">
            <v>25</v>
          </cell>
          <cell r="H13">
            <v>26</v>
          </cell>
        </row>
        <row r="14">
          <cell r="A14" t="str">
            <v>February</v>
          </cell>
          <cell r="B14">
            <v>24</v>
          </cell>
          <cell r="C14">
            <v>25</v>
          </cell>
          <cell r="D14">
            <v>24</v>
          </cell>
          <cell r="E14">
            <v>24</v>
          </cell>
          <cell r="F14">
            <v>24</v>
          </cell>
          <cell r="G14">
            <v>25</v>
          </cell>
          <cell r="H14">
            <v>24</v>
          </cell>
        </row>
        <row r="15">
          <cell r="A15" t="str">
            <v>March</v>
          </cell>
          <cell r="B15">
            <v>27</v>
          </cell>
          <cell r="C15">
            <v>24</v>
          </cell>
          <cell r="D15">
            <v>26</v>
          </cell>
          <cell r="E15">
            <v>27</v>
          </cell>
          <cell r="F15">
            <v>27</v>
          </cell>
          <cell r="G15">
            <v>27</v>
          </cell>
          <cell r="H15">
            <v>25</v>
          </cell>
        </row>
      </sheetData>
      <sheetData sheetId="8" refreshError="1"/>
      <sheetData sheetId="9" refreshError="1"/>
    </sheetDataSet>
  </externalBook>
</externalLink>
</file>

<file path=xl/persons/person.xml><?xml version="1.0" encoding="utf-8"?>
<personList xmlns="http://schemas.microsoft.com/office/spreadsheetml/2018/threadedcomments" xmlns:x="http://schemas.openxmlformats.org/spreadsheetml/2006/main">
  <person displayName="Wilson, Eleanor" id="{F527FC1A-BE9F-4CAC-A8EE-C6BC4A483B95}" userId="S::Eleanor.Wilson@dhsc.gov.uk::b41bd856-a038-4821-9d3b-3b95ac90aa0d"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K11" dT="2025-06-16T08:01:26.69" personId="{F527FC1A-BE9F-4CAC-A8EE-C6BC4A483B95}" id="{990DCBB5-CB6F-48A4-A59C-DC66B9AD2EBB}">
    <text>This was the largest value so added another 0.01% to ensure rounded values sum to 100%</text>
  </threadedComment>
</ThreadedComments>
</file>

<file path=xl/threadedComments/threadedComment2.xml><?xml version="1.0" encoding="utf-8"?>
<ThreadedComments xmlns="http://schemas.microsoft.com/office/spreadsheetml/2018/threadedcomments" xmlns:x="http://schemas.openxmlformats.org/spreadsheetml/2006/main">
  <threadedComment ref="D3" dT="2025-03-03T10:18:27.74" personId="{F527FC1A-BE9F-4CAC-A8EE-C6BC4A483B95}" id="{6C13F62F-5C5A-4B33-99DB-E2FDC50DC42F}">
    <text>We also apply an additional growth to capture the spend increasing each year. See notes in PrescribingModel_Overview for explanation.</text>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4" Type="http://schemas.microsoft.com/office/2017/10/relationships/threadedComment" Target="../threadedComments/threadedComment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2.bin"/><Relationship Id="rId1" Type="http://schemas.openxmlformats.org/officeDocument/2006/relationships/hyperlink" Target="https://psnc.org.uk/funding-and-statistics/funding-distribution/summary-of-funding-changes/" TargetMode="Externa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373CF-C2B5-4B31-8F6F-7A389265FBFD}">
  <dimension ref="B2:B10"/>
  <sheetViews>
    <sheetView showGridLines="0" workbookViewId="0">
      <selection activeCell="C14" sqref="C14"/>
    </sheetView>
  </sheetViews>
  <sheetFormatPr defaultRowHeight="12.5" x14ac:dyDescent="0.25"/>
  <sheetData>
    <row r="2" spans="2:2" ht="13" x14ac:dyDescent="0.3">
      <c r="B2" s="57" t="s">
        <v>0</v>
      </c>
    </row>
    <row r="3" spans="2:2" ht="13" x14ac:dyDescent="0.3">
      <c r="B3" s="33" t="s">
        <v>1</v>
      </c>
    </row>
    <row r="4" spans="2:2" x14ac:dyDescent="0.25">
      <c r="B4" s="33" t="s">
        <v>2</v>
      </c>
    </row>
    <row r="5" spans="2:2" x14ac:dyDescent="0.25">
      <c r="B5" s="33" t="s">
        <v>3</v>
      </c>
    </row>
    <row r="6" spans="2:2" x14ac:dyDescent="0.25">
      <c r="B6" s="33"/>
    </row>
    <row r="8" spans="2:2" ht="13" x14ac:dyDescent="0.3">
      <c r="B8" s="57" t="s">
        <v>4</v>
      </c>
    </row>
    <row r="9" spans="2:2" x14ac:dyDescent="0.25">
      <c r="B9" s="33" t="s">
        <v>5</v>
      </c>
    </row>
    <row r="10" spans="2:2" x14ac:dyDescent="0.25">
      <c r="B10" s="33" t="s">
        <v>137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J82"/>
  <sheetViews>
    <sheetView zoomScale="70" zoomScaleNormal="70" workbookViewId="0">
      <selection activeCell="H37" sqref="H37"/>
    </sheetView>
  </sheetViews>
  <sheetFormatPr defaultRowHeight="12.5" x14ac:dyDescent="0.25"/>
  <cols>
    <col min="2" max="2" width="11.81640625" customWidth="1"/>
    <col min="3" max="4" width="14.54296875" customWidth="1"/>
    <col min="5" max="5" width="33.54296875" customWidth="1"/>
    <col min="7" max="7" width="14.1796875" bestFit="1" customWidth="1"/>
    <col min="8" max="8" width="60.1796875" customWidth="1"/>
    <col min="9" max="9" width="15" bestFit="1" customWidth="1"/>
    <col min="10" max="10" width="20.54296875" bestFit="1" customWidth="1"/>
    <col min="11" max="11" width="14.81640625" bestFit="1" customWidth="1"/>
    <col min="12" max="12" width="14.1796875" bestFit="1" customWidth="1"/>
    <col min="13" max="13" width="15.81640625" bestFit="1" customWidth="1"/>
  </cols>
  <sheetData>
    <row r="1" spans="1:10" ht="15.5" x14ac:dyDescent="0.35">
      <c r="A1" s="1" t="s">
        <v>28</v>
      </c>
    </row>
    <row r="3" spans="1:10" ht="13" x14ac:dyDescent="0.3">
      <c r="A3" t="s">
        <v>29</v>
      </c>
      <c r="B3" t="s">
        <v>30</v>
      </c>
      <c r="C3" t="s">
        <v>31</v>
      </c>
      <c r="D3" t="s">
        <v>32</v>
      </c>
      <c r="E3" s="33" t="s">
        <v>33</v>
      </c>
      <c r="G3" s="134"/>
      <c r="H3" s="135" t="s">
        <v>34</v>
      </c>
    </row>
    <row r="4" spans="1:10" x14ac:dyDescent="0.25">
      <c r="A4" t="str">
        <f>Data!B6</f>
        <v>2020/21</v>
      </c>
      <c r="B4" t="s">
        <v>8</v>
      </c>
      <c r="C4" s="7">
        <f>Data!B7+Data!B24</f>
        <v>746019498</v>
      </c>
      <c r="D4">
        <f>INDEX(DispensingDays,MATCH(B4,DDMonth,0),MATCH($A$4,DDYear,0))</f>
        <v>24</v>
      </c>
      <c r="E4" s="54">
        <f>C4/D4</f>
        <v>31084145.75</v>
      </c>
      <c r="G4" s="136" t="s">
        <v>8</v>
      </c>
      <c r="H4" s="137">
        <f>AVERAGEIF($B$4:$B$63,G4,$E$4:$E$63)</f>
        <v>32743293.50051691</v>
      </c>
      <c r="I4" s="2"/>
      <c r="J4" s="2"/>
    </row>
    <row r="5" spans="1:10" x14ac:dyDescent="0.25">
      <c r="A5" t="str">
        <f t="shared" ref="A5:A15" si="0">A4</f>
        <v>2020/21</v>
      </c>
      <c r="B5" t="s">
        <v>9</v>
      </c>
      <c r="C5" s="7">
        <f>Data!B8+Data!B25</f>
        <v>700525672</v>
      </c>
      <c r="D5">
        <f t="shared" ref="D5:D15" si="1">INDEX(DispensingDays,MATCH(B5,DDMonth,0),MATCH($A$4,DDYear,0))</f>
        <v>24</v>
      </c>
      <c r="E5" s="54">
        <f t="shared" ref="E5:E68" si="2">C5/D5</f>
        <v>29188569.666666668</v>
      </c>
      <c r="G5" s="136" t="s">
        <v>9</v>
      </c>
      <c r="H5" s="137">
        <f t="shared" ref="H5:H15" si="3">AVERAGEIF($B$4:$B$63,G5,$E$4:$E$63)</f>
        <v>32637116.007777773</v>
      </c>
      <c r="I5" s="2"/>
      <c r="J5" s="2"/>
    </row>
    <row r="6" spans="1:10" x14ac:dyDescent="0.25">
      <c r="A6" t="str">
        <f t="shared" si="0"/>
        <v>2020/21</v>
      </c>
      <c r="B6" t="s">
        <v>10</v>
      </c>
      <c r="C6" s="7">
        <f>Data!B9+Data!B26</f>
        <v>720897914</v>
      </c>
      <c r="D6">
        <f t="shared" si="1"/>
        <v>26</v>
      </c>
      <c r="E6" s="54">
        <f t="shared" si="2"/>
        <v>27726842.846153848</v>
      </c>
      <c r="G6" s="136" t="s">
        <v>10</v>
      </c>
      <c r="H6" s="137">
        <f t="shared" si="3"/>
        <v>31745072.225000001</v>
      </c>
      <c r="I6" s="2"/>
      <c r="J6" s="2"/>
    </row>
    <row r="7" spans="1:10" x14ac:dyDescent="0.25">
      <c r="A7" t="str">
        <f t="shared" si="0"/>
        <v>2020/21</v>
      </c>
      <c r="B7" t="s">
        <v>11</v>
      </c>
      <c r="C7" s="7">
        <f>Data!B10+Data!B27</f>
        <v>745296870</v>
      </c>
      <c r="D7">
        <f t="shared" si="1"/>
        <v>27</v>
      </c>
      <c r="E7" s="54">
        <f t="shared" si="2"/>
        <v>27603587.777777776</v>
      </c>
      <c r="G7" s="136" t="s">
        <v>11</v>
      </c>
      <c r="H7" s="137">
        <f t="shared" si="3"/>
        <v>31049158.102754034</v>
      </c>
      <c r="I7" s="2"/>
      <c r="J7" s="2"/>
    </row>
    <row r="8" spans="1:10" x14ac:dyDescent="0.25">
      <c r="A8" t="str">
        <f t="shared" si="0"/>
        <v>2020/21</v>
      </c>
      <c r="B8" t="s">
        <v>12</v>
      </c>
      <c r="C8" s="7">
        <f>Data!B11+Data!B28</f>
        <v>673867632</v>
      </c>
      <c r="D8">
        <f t="shared" si="1"/>
        <v>25</v>
      </c>
      <c r="E8" s="54">
        <f t="shared" si="2"/>
        <v>26954705.280000001</v>
      </c>
      <c r="G8" s="136" t="s">
        <v>12</v>
      </c>
      <c r="H8" s="137">
        <f t="shared" si="3"/>
        <v>31286927.512512822</v>
      </c>
      <c r="I8" s="2"/>
      <c r="J8" s="2"/>
    </row>
    <row r="9" spans="1:10" x14ac:dyDescent="0.25">
      <c r="A9" t="str">
        <f t="shared" si="0"/>
        <v>2020/21</v>
      </c>
      <c r="B9" t="s">
        <v>13</v>
      </c>
      <c r="C9" s="7">
        <f>Data!B12+Data!B29</f>
        <v>756906815</v>
      </c>
      <c r="D9">
        <f t="shared" si="1"/>
        <v>26</v>
      </c>
      <c r="E9" s="54">
        <f t="shared" si="2"/>
        <v>29111800.576923076</v>
      </c>
      <c r="G9" s="136" t="s">
        <v>13</v>
      </c>
      <c r="H9" s="137">
        <f t="shared" si="3"/>
        <v>32499462.74379487</v>
      </c>
      <c r="I9" s="2"/>
      <c r="J9" s="2"/>
    </row>
    <row r="10" spans="1:10" x14ac:dyDescent="0.25">
      <c r="A10" t="str">
        <f t="shared" si="0"/>
        <v>2020/21</v>
      </c>
      <c r="B10" t="s">
        <v>14</v>
      </c>
      <c r="C10" s="7">
        <f>Data!B13+Data!B30</f>
        <v>788844660.66666663</v>
      </c>
      <c r="D10">
        <f t="shared" si="1"/>
        <v>27</v>
      </c>
      <c r="E10" s="54">
        <f t="shared" si="2"/>
        <v>29216468.913580246</v>
      </c>
      <c r="G10" s="136" t="s">
        <v>14</v>
      </c>
      <c r="H10" s="137">
        <f t="shared" si="3"/>
        <v>32739335.429724596</v>
      </c>
      <c r="I10" s="2"/>
      <c r="J10" s="2"/>
    </row>
    <row r="11" spans="1:10" x14ac:dyDescent="0.25">
      <c r="A11" t="str">
        <f t="shared" si="0"/>
        <v>2020/21</v>
      </c>
      <c r="B11" t="s">
        <v>15</v>
      </c>
      <c r="C11" s="7">
        <f>Data!B14+Data!B31</f>
        <v>738104484.66666663</v>
      </c>
      <c r="D11">
        <f t="shared" si="1"/>
        <v>25</v>
      </c>
      <c r="E11" s="54">
        <f t="shared" si="2"/>
        <v>29524179.386666667</v>
      </c>
      <c r="G11" s="136" t="s">
        <v>15</v>
      </c>
      <c r="H11" s="137">
        <f>AVERAGEIF($B$4:$B$63,G11,$E$4:$E$63)</f>
        <v>32404668.128615387</v>
      </c>
      <c r="I11" s="2"/>
      <c r="J11" s="2"/>
    </row>
    <row r="12" spans="1:10" x14ac:dyDescent="0.25">
      <c r="A12" t="str">
        <f t="shared" si="0"/>
        <v>2020/21</v>
      </c>
      <c r="B12" t="s">
        <v>16</v>
      </c>
      <c r="C12" s="7">
        <f>Data!B15+Data!B32</f>
        <v>778653051.66666663</v>
      </c>
      <c r="D12">
        <f t="shared" si="1"/>
        <v>24</v>
      </c>
      <c r="E12" s="54">
        <f t="shared" si="2"/>
        <v>32443877.152777776</v>
      </c>
      <c r="G12" s="136" t="s">
        <v>16</v>
      </c>
      <c r="H12" s="137">
        <f t="shared" si="3"/>
        <v>35394843.050777778</v>
      </c>
      <c r="I12" s="2"/>
      <c r="J12" s="2"/>
    </row>
    <row r="13" spans="1:10" x14ac:dyDescent="0.25">
      <c r="A13" t="str">
        <f t="shared" si="0"/>
        <v>2020/21</v>
      </c>
      <c r="B13" t="s">
        <v>17</v>
      </c>
      <c r="C13" s="7">
        <f>Data!B16+Data!B33</f>
        <v>725326495</v>
      </c>
      <c r="D13">
        <f t="shared" si="1"/>
        <v>25</v>
      </c>
      <c r="E13" s="54">
        <f t="shared" si="2"/>
        <v>29013059.800000001</v>
      </c>
      <c r="G13" s="136" t="s">
        <v>17</v>
      </c>
      <c r="H13" s="137">
        <f t="shared" si="3"/>
        <v>33212774.844358973</v>
      </c>
      <c r="I13" s="2"/>
      <c r="J13" s="2"/>
    </row>
    <row r="14" spans="1:10" x14ac:dyDescent="0.25">
      <c r="A14" t="str">
        <f t="shared" si="0"/>
        <v>2020/21</v>
      </c>
      <c r="B14" t="s">
        <v>18</v>
      </c>
      <c r="C14" s="7">
        <f>Data!B17+Data!B34</f>
        <v>678080296</v>
      </c>
      <c r="D14">
        <f t="shared" si="1"/>
        <v>24</v>
      </c>
      <c r="E14" s="54">
        <f t="shared" si="2"/>
        <v>28253345.666666668</v>
      </c>
      <c r="G14" s="136" t="s">
        <v>18</v>
      </c>
      <c r="H14" s="137">
        <f t="shared" si="3"/>
        <v>32072852.062333334</v>
      </c>
      <c r="I14" s="2"/>
      <c r="J14" s="2"/>
    </row>
    <row r="15" spans="1:10" x14ac:dyDescent="0.25">
      <c r="A15" t="str">
        <f t="shared" si="0"/>
        <v>2020/21</v>
      </c>
      <c r="B15" t="s">
        <v>19</v>
      </c>
      <c r="C15" s="7">
        <f>Data!B18+Data!B35</f>
        <v>760004285</v>
      </c>
      <c r="D15">
        <f t="shared" si="1"/>
        <v>27</v>
      </c>
      <c r="E15" s="54">
        <f t="shared" si="2"/>
        <v>28148306.851851851</v>
      </c>
      <c r="G15" s="138" t="s">
        <v>19</v>
      </c>
      <c r="H15" s="139">
        <f t="shared" si="3"/>
        <v>32137854.638062678</v>
      </c>
      <c r="I15" s="2"/>
      <c r="J15" s="2"/>
    </row>
    <row r="16" spans="1:10" x14ac:dyDescent="0.25">
      <c r="A16" t="str">
        <f>Data!C6</f>
        <v>2021/22</v>
      </c>
      <c r="B16" t="s">
        <v>8</v>
      </c>
      <c r="C16" s="7">
        <f>Data!C7+Data!C24</f>
        <v>732364217.33333337</v>
      </c>
      <c r="D16">
        <f t="shared" ref="D16:D27" si="4">INDEX(DispensingDays,MATCH(B16,DDMonth,0),MATCH($A$16,DDYear,0))</f>
        <v>24</v>
      </c>
      <c r="E16" s="54">
        <f t="shared" si="2"/>
        <v>30515175.722222224</v>
      </c>
    </row>
    <row r="17" spans="1:8" x14ac:dyDescent="0.25">
      <c r="A17" t="str">
        <f t="shared" ref="A17:A27" si="5">A16</f>
        <v>2021/22</v>
      </c>
      <c r="B17" t="s">
        <v>9</v>
      </c>
      <c r="C17" s="7">
        <f>Data!C8+Data!C25</f>
        <v>702457678.33333337</v>
      </c>
      <c r="D17">
        <f t="shared" si="4"/>
        <v>24</v>
      </c>
      <c r="E17" s="54">
        <f t="shared" si="2"/>
        <v>29269069.930555556</v>
      </c>
    </row>
    <row r="18" spans="1:8" x14ac:dyDescent="0.25">
      <c r="A18" t="str">
        <f t="shared" si="5"/>
        <v>2021/22</v>
      </c>
      <c r="B18" t="s">
        <v>10</v>
      </c>
      <c r="C18" s="7">
        <f>Data!C9+Data!C26</f>
        <v>757195864.33333337</v>
      </c>
      <c r="D18">
        <f t="shared" si="4"/>
        <v>26</v>
      </c>
      <c r="E18" s="54">
        <f t="shared" si="2"/>
        <v>29122917.85897436</v>
      </c>
    </row>
    <row r="19" spans="1:8" x14ac:dyDescent="0.25">
      <c r="A19" t="str">
        <f t="shared" si="5"/>
        <v>2021/22</v>
      </c>
      <c r="B19" t="s">
        <v>11</v>
      </c>
      <c r="C19" s="7">
        <f>Data!C10+Data!C27</f>
        <v>753840357.33333337</v>
      </c>
      <c r="D19">
        <f t="shared" si="4"/>
        <v>27</v>
      </c>
      <c r="E19" s="54">
        <f t="shared" si="2"/>
        <v>27920013.234567903</v>
      </c>
    </row>
    <row r="20" spans="1:8" x14ac:dyDescent="0.25">
      <c r="A20" t="str">
        <f t="shared" si="5"/>
        <v>2021/22</v>
      </c>
      <c r="B20" t="s">
        <v>12</v>
      </c>
      <c r="C20" s="7">
        <f>Data!C11+Data!C28</f>
        <v>715464100.33333337</v>
      </c>
      <c r="D20">
        <f t="shared" si="4"/>
        <v>25</v>
      </c>
      <c r="E20" s="54">
        <f t="shared" si="2"/>
        <v>28618564.013333336</v>
      </c>
    </row>
    <row r="21" spans="1:8" x14ac:dyDescent="0.25">
      <c r="A21" t="str">
        <f t="shared" si="5"/>
        <v>2021/22</v>
      </c>
      <c r="B21" t="s">
        <v>13</v>
      </c>
      <c r="C21" s="7">
        <f>Data!C12+Data!C29</f>
        <v>774197646.33333337</v>
      </c>
      <c r="D21">
        <f t="shared" si="4"/>
        <v>26</v>
      </c>
      <c r="E21" s="54">
        <f t="shared" si="2"/>
        <v>29776832.551282052</v>
      </c>
    </row>
    <row r="22" spans="1:8" x14ac:dyDescent="0.25">
      <c r="A22" t="str">
        <f t="shared" si="5"/>
        <v>2021/22</v>
      </c>
      <c r="B22" t="s">
        <v>14</v>
      </c>
      <c r="C22" s="7">
        <f>Data!C13+Data!C30</f>
        <v>764758626.66666675</v>
      </c>
      <c r="D22">
        <f t="shared" si="4"/>
        <v>26</v>
      </c>
      <c r="E22" s="54">
        <f t="shared" si="2"/>
        <v>29413793.333333336</v>
      </c>
    </row>
    <row r="23" spans="1:8" x14ac:dyDescent="0.25">
      <c r="A23" t="str">
        <f t="shared" si="5"/>
        <v>2021/22</v>
      </c>
      <c r="B23" t="s">
        <v>15</v>
      </c>
      <c r="C23" s="7">
        <f>Data!C14+Data!C31</f>
        <v>778119773.66666675</v>
      </c>
      <c r="D23">
        <f t="shared" si="4"/>
        <v>26</v>
      </c>
      <c r="E23" s="54">
        <f t="shared" si="2"/>
        <v>29927683.602564104</v>
      </c>
    </row>
    <row r="24" spans="1:8" x14ac:dyDescent="0.25">
      <c r="A24" t="str">
        <f t="shared" si="5"/>
        <v>2021/22</v>
      </c>
      <c r="B24" t="s">
        <v>16</v>
      </c>
      <c r="C24" s="7">
        <f>Data!C15+Data!C32</f>
        <v>805597144.66666675</v>
      </c>
      <c r="D24">
        <f t="shared" si="4"/>
        <v>24</v>
      </c>
      <c r="E24" s="54">
        <f t="shared" si="2"/>
        <v>33566547.694444448</v>
      </c>
      <c r="H24" s="54"/>
    </row>
    <row r="25" spans="1:8" x14ac:dyDescent="0.25">
      <c r="A25" t="str">
        <f t="shared" si="5"/>
        <v>2021/22</v>
      </c>
      <c r="B25" t="s">
        <v>17</v>
      </c>
      <c r="C25" s="7">
        <f>Data!C16+Data!C33</f>
        <v>753791858</v>
      </c>
      <c r="D25">
        <f t="shared" si="4"/>
        <v>24</v>
      </c>
      <c r="E25" s="54">
        <f t="shared" si="2"/>
        <v>31407994.083333332</v>
      </c>
      <c r="H25" s="54"/>
    </row>
    <row r="26" spans="1:8" x14ac:dyDescent="0.25">
      <c r="A26" t="str">
        <f t="shared" si="5"/>
        <v>2021/22</v>
      </c>
      <c r="B26" t="s">
        <v>18</v>
      </c>
      <c r="C26" s="7">
        <f>Data!C17+Data!C34</f>
        <v>709343371</v>
      </c>
      <c r="D26">
        <f t="shared" si="4"/>
        <v>24</v>
      </c>
      <c r="E26" s="54">
        <f t="shared" si="2"/>
        <v>29555973.791666668</v>
      </c>
      <c r="H26" s="54"/>
    </row>
    <row r="27" spans="1:8" x14ac:dyDescent="0.25">
      <c r="A27" t="str">
        <f t="shared" si="5"/>
        <v>2021/22</v>
      </c>
      <c r="B27" t="s">
        <v>19</v>
      </c>
      <c r="C27" s="7">
        <f>Data!C18+Data!C35</f>
        <v>805908329</v>
      </c>
      <c r="D27">
        <f t="shared" si="4"/>
        <v>27</v>
      </c>
      <c r="E27" s="54">
        <f t="shared" si="2"/>
        <v>29848456.629629631</v>
      </c>
    </row>
    <row r="28" spans="1:8" x14ac:dyDescent="0.25">
      <c r="A28" t="str">
        <f>Data!D6</f>
        <v>2022/23</v>
      </c>
      <c r="B28" t="s">
        <v>8</v>
      </c>
      <c r="C28" s="7">
        <f>Data!D7+Data!D24</f>
        <v>749541877</v>
      </c>
      <c r="D28">
        <f t="shared" ref="D28:D39" si="6">INDEX(DispensingDays,MATCH(B28,DDMonth,0),MATCH($A$28,DDYear,0))</f>
        <v>24</v>
      </c>
      <c r="E28" s="54">
        <f t="shared" si="2"/>
        <v>31230911.541666668</v>
      </c>
    </row>
    <row r="29" spans="1:8" x14ac:dyDescent="0.25">
      <c r="A29" t="str">
        <f>A28</f>
        <v>2022/23</v>
      </c>
      <c r="B29" t="s">
        <v>9</v>
      </c>
      <c r="C29" s="7">
        <f>Data!D8+Data!D25</f>
        <v>792296524</v>
      </c>
      <c r="D29">
        <f t="shared" si="6"/>
        <v>25</v>
      </c>
      <c r="E29" s="54">
        <f t="shared" si="2"/>
        <v>31691860.960000001</v>
      </c>
    </row>
    <row r="30" spans="1:8" x14ac:dyDescent="0.25">
      <c r="A30" t="s">
        <v>43</v>
      </c>
      <c r="B30" t="s">
        <v>10</v>
      </c>
      <c r="C30" s="7">
        <f>Data!D9+Data!D26</f>
        <v>781113071</v>
      </c>
      <c r="D30">
        <f t="shared" si="6"/>
        <v>24</v>
      </c>
      <c r="E30" s="54">
        <f t="shared" si="2"/>
        <v>32546377.958333332</v>
      </c>
    </row>
    <row r="31" spans="1:8" x14ac:dyDescent="0.25">
      <c r="A31" t="s">
        <v>43</v>
      </c>
      <c r="B31" t="s">
        <v>11</v>
      </c>
      <c r="C31" s="7">
        <f>Data!D10+Data!D27</f>
        <v>795517539</v>
      </c>
      <c r="D31">
        <f t="shared" si="6"/>
        <v>26</v>
      </c>
      <c r="E31" s="54">
        <f t="shared" si="2"/>
        <v>30596828.423076924</v>
      </c>
    </row>
    <row r="32" spans="1:8" x14ac:dyDescent="0.25">
      <c r="A32" t="s">
        <v>43</v>
      </c>
      <c r="B32" t="s">
        <v>12</v>
      </c>
      <c r="C32" s="7">
        <f>Data!D11+Data!D28</f>
        <v>814503879</v>
      </c>
      <c r="D32">
        <f t="shared" si="6"/>
        <v>26</v>
      </c>
      <c r="E32" s="54">
        <f t="shared" si="2"/>
        <v>31327072.269230768</v>
      </c>
    </row>
    <row r="33" spans="1:5" x14ac:dyDescent="0.25">
      <c r="A33" t="s">
        <v>43</v>
      </c>
      <c r="B33" t="s">
        <v>13</v>
      </c>
      <c r="C33" s="7">
        <f>Data!D12+Data!D29</f>
        <v>834811367</v>
      </c>
      <c r="D33">
        <f t="shared" si="6"/>
        <v>25</v>
      </c>
      <c r="E33" s="54">
        <f t="shared" si="2"/>
        <v>33392454.68</v>
      </c>
    </row>
    <row r="34" spans="1:5" x14ac:dyDescent="0.25">
      <c r="A34" t="s">
        <v>43</v>
      </c>
      <c r="B34" t="s">
        <v>14</v>
      </c>
      <c r="C34" s="7">
        <f>Data!D13+Data!D30</f>
        <v>870488378</v>
      </c>
      <c r="D34">
        <f t="shared" si="6"/>
        <v>26</v>
      </c>
      <c r="E34" s="54">
        <f t="shared" si="2"/>
        <v>33480322.230769232</v>
      </c>
    </row>
    <row r="35" spans="1:5" x14ac:dyDescent="0.25">
      <c r="A35" t="s">
        <v>43</v>
      </c>
      <c r="B35" t="s">
        <v>15</v>
      </c>
      <c r="C35" s="7">
        <f>Data!D14+Data!D31</f>
        <v>867593766</v>
      </c>
      <c r="D35">
        <f t="shared" si="6"/>
        <v>26</v>
      </c>
      <c r="E35" s="54">
        <f t="shared" si="2"/>
        <v>33368991</v>
      </c>
    </row>
    <row r="36" spans="1:5" x14ac:dyDescent="0.25">
      <c r="A36" t="s">
        <v>43</v>
      </c>
      <c r="B36" t="s">
        <v>16</v>
      </c>
      <c r="C36" s="7">
        <f>Data!D15+Data!D32</f>
        <v>887252031</v>
      </c>
      <c r="D36">
        <f t="shared" si="6"/>
        <v>25</v>
      </c>
      <c r="E36" s="54">
        <f t="shared" si="2"/>
        <v>35490081.240000002</v>
      </c>
    </row>
    <row r="37" spans="1:5" x14ac:dyDescent="0.25">
      <c r="A37" t="s">
        <v>43</v>
      </c>
      <c r="B37" t="s">
        <v>17</v>
      </c>
      <c r="C37" s="7">
        <f>Data!D16+Data!D33</f>
        <v>874439295</v>
      </c>
      <c r="D37">
        <f t="shared" si="6"/>
        <v>25</v>
      </c>
      <c r="E37" s="54">
        <f t="shared" si="2"/>
        <v>34977571.799999997</v>
      </c>
    </row>
    <row r="38" spans="1:5" x14ac:dyDescent="0.25">
      <c r="A38" t="s">
        <v>43</v>
      </c>
      <c r="B38" t="s">
        <v>18</v>
      </c>
      <c r="C38" s="7">
        <f>Data!D17+Data!D34</f>
        <v>803632874</v>
      </c>
      <c r="D38">
        <f t="shared" si="6"/>
        <v>24</v>
      </c>
      <c r="E38" s="54">
        <f t="shared" si="2"/>
        <v>33484703.083333332</v>
      </c>
    </row>
    <row r="39" spans="1:5" x14ac:dyDescent="0.25">
      <c r="A39" t="s">
        <v>43</v>
      </c>
      <c r="B39" t="s">
        <v>19</v>
      </c>
      <c r="C39" s="7">
        <f>Data!D18+Data!D35</f>
        <v>912396268</v>
      </c>
      <c r="D39">
        <f t="shared" si="6"/>
        <v>27</v>
      </c>
      <c r="E39" s="54">
        <f t="shared" si="2"/>
        <v>33792454.370370373</v>
      </c>
    </row>
    <row r="40" spans="1:5" x14ac:dyDescent="0.25">
      <c r="A40" t="str">
        <f>Data!E6</f>
        <v>2023/24</v>
      </c>
      <c r="B40" t="s">
        <v>8</v>
      </c>
      <c r="C40" s="7">
        <f>Data!E7+Data!E24</f>
        <v>814707463</v>
      </c>
      <c r="D40">
        <f t="shared" ref="D40:D51" si="7">INDEX(DispensingDays,MATCH(B40,DDMonth,0),MATCH($A$40,DDYear,0))</f>
        <v>23</v>
      </c>
      <c r="E40" s="54">
        <f t="shared" si="2"/>
        <v>35422063.608695649</v>
      </c>
    </row>
    <row r="41" spans="1:5" x14ac:dyDescent="0.25">
      <c r="A41" t="str">
        <f t="shared" ref="A41:A51" si="8">A40</f>
        <v>2023/24</v>
      </c>
      <c r="B41" t="s">
        <v>9</v>
      </c>
      <c r="C41" s="7">
        <f>Data!E8+Data!E25</f>
        <v>880647313</v>
      </c>
      <c r="D41">
        <f t="shared" si="7"/>
        <v>24</v>
      </c>
      <c r="E41" s="54">
        <f t="shared" si="2"/>
        <v>36693638.041666664</v>
      </c>
    </row>
    <row r="42" spans="1:5" x14ac:dyDescent="0.25">
      <c r="A42" t="str">
        <f t="shared" si="8"/>
        <v>2023/24</v>
      </c>
      <c r="B42" t="s">
        <v>10</v>
      </c>
      <c r="C42" s="7">
        <f>Data!E9+Data!E26</f>
        <v>901302518</v>
      </c>
      <c r="D42">
        <f t="shared" si="7"/>
        <v>26</v>
      </c>
      <c r="E42" s="54">
        <f t="shared" si="2"/>
        <v>34665481.461538464</v>
      </c>
    </row>
    <row r="43" spans="1:5" x14ac:dyDescent="0.25">
      <c r="A43" t="str">
        <f t="shared" si="8"/>
        <v>2023/24</v>
      </c>
      <c r="B43" t="s">
        <v>11</v>
      </c>
      <c r="C43" s="7">
        <f>Data!E10+Data!E27</f>
        <v>877604601</v>
      </c>
      <c r="D43">
        <f t="shared" si="7"/>
        <v>26</v>
      </c>
      <c r="E43" s="54">
        <f t="shared" si="2"/>
        <v>33754023.115384616</v>
      </c>
    </row>
    <row r="44" spans="1:5" x14ac:dyDescent="0.25">
      <c r="A44" t="str">
        <f t="shared" si="8"/>
        <v>2023/24</v>
      </c>
      <c r="B44" t="s">
        <v>12</v>
      </c>
      <c r="C44" s="7">
        <f>Data!E11+Data!E28</f>
        <v>888375476</v>
      </c>
      <c r="D44">
        <f t="shared" si="7"/>
        <v>26</v>
      </c>
      <c r="E44" s="54">
        <f t="shared" si="2"/>
        <v>34168287.538461536</v>
      </c>
    </row>
    <row r="45" spans="1:5" x14ac:dyDescent="0.25">
      <c r="A45" t="str">
        <f t="shared" si="8"/>
        <v>2023/24</v>
      </c>
      <c r="B45" t="s">
        <v>13</v>
      </c>
      <c r="C45" s="7">
        <f>Data!E12+Data!E29</f>
        <v>905635776</v>
      </c>
      <c r="D45">
        <f t="shared" si="7"/>
        <v>26</v>
      </c>
      <c r="E45" s="54">
        <f t="shared" si="2"/>
        <v>34832145.230769232</v>
      </c>
    </row>
    <row r="46" spans="1:5" x14ac:dyDescent="0.25">
      <c r="A46" t="str">
        <f t="shared" si="8"/>
        <v>2023/24</v>
      </c>
      <c r="B46" t="s">
        <v>14</v>
      </c>
      <c r="C46" s="7">
        <f>Data!E13+Data!E30</f>
        <v>912132055</v>
      </c>
      <c r="D46">
        <f t="shared" si="7"/>
        <v>26</v>
      </c>
      <c r="E46" s="54">
        <f t="shared" si="2"/>
        <v>35082002.115384616</v>
      </c>
    </row>
    <row r="47" spans="1:5" x14ac:dyDescent="0.25">
      <c r="A47" t="str">
        <f t="shared" si="8"/>
        <v>2023/24</v>
      </c>
      <c r="B47" t="s">
        <v>15</v>
      </c>
      <c r="C47" s="7">
        <f>Data!E14+Data!E31</f>
        <v>894118412</v>
      </c>
      <c r="D47">
        <f t="shared" si="7"/>
        <v>26</v>
      </c>
      <c r="E47" s="54">
        <f t="shared" si="2"/>
        <v>34389169.692307696</v>
      </c>
    </row>
    <row r="48" spans="1:5" x14ac:dyDescent="0.25">
      <c r="A48" t="str">
        <f t="shared" si="8"/>
        <v>2023/24</v>
      </c>
      <c r="B48" t="s">
        <v>16</v>
      </c>
      <c r="C48" s="7">
        <f>Data!E15+Data!E32</f>
        <v>889025377</v>
      </c>
      <c r="D48">
        <f t="shared" si="7"/>
        <v>24</v>
      </c>
      <c r="E48" s="54">
        <f t="shared" si="2"/>
        <v>37042724.041666664</v>
      </c>
    </row>
    <row r="49" spans="1:7" x14ac:dyDescent="0.25">
      <c r="A49" t="str">
        <f t="shared" si="8"/>
        <v>2023/24</v>
      </c>
      <c r="B49" t="s">
        <v>17</v>
      </c>
      <c r="C49" s="7">
        <f>Data!E16+Data!E33</f>
        <v>902208983</v>
      </c>
      <c r="D49">
        <f t="shared" si="7"/>
        <v>26</v>
      </c>
      <c r="E49" s="54">
        <f t="shared" si="2"/>
        <v>34700345.5</v>
      </c>
    </row>
    <row r="50" spans="1:7" x14ac:dyDescent="0.25">
      <c r="A50" t="str">
        <f t="shared" si="8"/>
        <v>2023/24</v>
      </c>
      <c r="B50" t="s">
        <v>18</v>
      </c>
      <c r="C50" s="7">
        <f>Data!E17+Data!E34</f>
        <v>851275738</v>
      </c>
      <c r="D50">
        <f t="shared" si="7"/>
        <v>25</v>
      </c>
      <c r="E50" s="54">
        <f t="shared" si="2"/>
        <v>34051029.520000003</v>
      </c>
    </row>
    <row r="51" spans="1:7" x14ac:dyDescent="0.25">
      <c r="A51" t="str">
        <f t="shared" si="8"/>
        <v>2023/24</v>
      </c>
      <c r="B51" t="s">
        <v>19</v>
      </c>
      <c r="C51" s="7">
        <f>Data!E18+Data!E35</f>
        <v>863195820</v>
      </c>
      <c r="D51">
        <f t="shared" si="7"/>
        <v>25</v>
      </c>
      <c r="E51" s="54">
        <f t="shared" si="2"/>
        <v>34527832.799999997</v>
      </c>
    </row>
    <row r="52" spans="1:7" x14ac:dyDescent="0.25">
      <c r="A52" t="str">
        <f>Data!F6</f>
        <v>2024/25</v>
      </c>
      <c r="B52" t="s">
        <v>8</v>
      </c>
      <c r="C52" s="7">
        <f>Data!F7+Data!F24</f>
        <v>886604272</v>
      </c>
      <c r="D52">
        <f t="shared" ref="D52:D63" si="9">INDEX(DispensingDays,MATCH(B52,DDMonth,0),MATCH($A$52,DDYear,0))</f>
        <v>25</v>
      </c>
      <c r="E52" s="54">
        <f t="shared" si="2"/>
        <v>35464170.880000003</v>
      </c>
    </row>
    <row r="53" spans="1:7" x14ac:dyDescent="0.25">
      <c r="A53" t="str">
        <f t="shared" ref="A53:A63" si="10">A52</f>
        <v>2024/25</v>
      </c>
      <c r="B53" t="s">
        <v>9</v>
      </c>
      <c r="C53" s="7">
        <f>Data!F8+Data!F25</f>
        <v>908561036</v>
      </c>
      <c r="D53">
        <f t="shared" si="9"/>
        <v>25</v>
      </c>
      <c r="E53" s="54">
        <f t="shared" si="2"/>
        <v>36342441.439999998</v>
      </c>
    </row>
    <row r="54" spans="1:7" x14ac:dyDescent="0.25">
      <c r="A54" t="str">
        <f t="shared" si="10"/>
        <v>2024/25</v>
      </c>
      <c r="B54" t="s">
        <v>10</v>
      </c>
      <c r="C54" s="7">
        <f>Data!F9+Data!F26</f>
        <v>866593525</v>
      </c>
      <c r="D54">
        <f t="shared" si="9"/>
        <v>25</v>
      </c>
      <c r="E54" s="54">
        <f t="shared" si="2"/>
        <v>34663741</v>
      </c>
    </row>
    <row r="55" spans="1:7" x14ac:dyDescent="0.25">
      <c r="A55" t="str">
        <f t="shared" si="10"/>
        <v>2024/25</v>
      </c>
      <c r="B55" t="s">
        <v>11</v>
      </c>
      <c r="C55" s="7">
        <f>Data!F10+Data!F27</f>
        <v>955026125</v>
      </c>
      <c r="D55">
        <f t="shared" si="9"/>
        <v>27</v>
      </c>
      <c r="E55" s="54">
        <f t="shared" si="2"/>
        <v>35371337.962962963</v>
      </c>
    </row>
    <row r="56" spans="1:7" x14ac:dyDescent="0.25">
      <c r="A56" t="str">
        <f t="shared" si="10"/>
        <v>2024/25</v>
      </c>
      <c r="B56" t="s">
        <v>12</v>
      </c>
      <c r="C56" s="7">
        <f>Data!F11+Data!F28</f>
        <v>919516220</v>
      </c>
      <c r="D56">
        <f t="shared" si="9"/>
        <v>26</v>
      </c>
      <c r="E56" s="54">
        <f t="shared" si="2"/>
        <v>35366008.461538464</v>
      </c>
    </row>
    <row r="57" spans="1:7" x14ac:dyDescent="0.25">
      <c r="A57" t="str">
        <f t="shared" si="10"/>
        <v>2024/25</v>
      </c>
      <c r="B57" t="s">
        <v>13</v>
      </c>
      <c r="C57" s="7">
        <f>Data!F12+Data!F29</f>
        <v>884602017</v>
      </c>
      <c r="D57">
        <f t="shared" si="9"/>
        <v>25</v>
      </c>
      <c r="E57" s="54">
        <f t="shared" si="2"/>
        <v>35384080.68</v>
      </c>
    </row>
    <row r="58" spans="1:7" x14ac:dyDescent="0.25">
      <c r="A58" t="str">
        <f t="shared" si="10"/>
        <v>2024/25</v>
      </c>
      <c r="B58" t="s">
        <v>14</v>
      </c>
      <c r="C58" s="7">
        <f>Data!F13+Data!F30</f>
        <v>985610445</v>
      </c>
      <c r="D58">
        <f t="shared" si="9"/>
        <v>27</v>
      </c>
      <c r="E58" s="54">
        <f t="shared" si="2"/>
        <v>36504090.555555552</v>
      </c>
    </row>
    <row r="59" spans="1:7" x14ac:dyDescent="0.25">
      <c r="A59" t="str">
        <f t="shared" si="10"/>
        <v>2024/25</v>
      </c>
      <c r="B59" t="s">
        <v>15</v>
      </c>
      <c r="C59" s="7">
        <f>Data!F14+Data!F31</f>
        <v>905146241</v>
      </c>
      <c r="D59">
        <f t="shared" si="9"/>
        <v>26</v>
      </c>
      <c r="E59" s="54">
        <f t="shared" si="2"/>
        <v>34813316.961538464</v>
      </c>
    </row>
    <row r="60" spans="1:7" x14ac:dyDescent="0.25">
      <c r="A60" t="str">
        <f t="shared" si="10"/>
        <v>2024/25</v>
      </c>
      <c r="B60" t="s">
        <v>16</v>
      </c>
      <c r="C60" s="7">
        <f>Data!F15+Data!F32</f>
        <v>922343643</v>
      </c>
      <c r="D60">
        <f t="shared" si="9"/>
        <v>24</v>
      </c>
      <c r="E60" s="54">
        <f t="shared" si="2"/>
        <v>38430985.125</v>
      </c>
    </row>
    <row r="61" spans="1:7" x14ac:dyDescent="0.25">
      <c r="A61" t="str">
        <f t="shared" si="10"/>
        <v>2024/25</v>
      </c>
      <c r="B61" t="s">
        <v>17</v>
      </c>
      <c r="C61" s="7">
        <f>Data!F16+Data!F33</f>
        <v>935087479</v>
      </c>
      <c r="D61">
        <f t="shared" si="9"/>
        <v>26</v>
      </c>
      <c r="E61" s="54">
        <f t="shared" si="2"/>
        <v>35964903.038461536</v>
      </c>
    </row>
    <row r="62" spans="1:7" x14ac:dyDescent="0.25">
      <c r="A62" t="str">
        <f t="shared" si="10"/>
        <v>2024/25</v>
      </c>
      <c r="B62" t="s">
        <v>18</v>
      </c>
      <c r="C62" s="7">
        <f>Data!F17+Data!F34</f>
        <v>840460998</v>
      </c>
      <c r="D62">
        <f t="shared" si="9"/>
        <v>24</v>
      </c>
      <c r="E62" s="54">
        <f t="shared" si="2"/>
        <v>35019208.25</v>
      </c>
    </row>
    <row r="63" spans="1:7" x14ac:dyDescent="0.25">
      <c r="A63" t="str">
        <f t="shared" si="10"/>
        <v>2024/25</v>
      </c>
      <c r="B63" t="s">
        <v>19</v>
      </c>
      <c r="C63" s="7">
        <f>Data!F18+Data!F35</f>
        <v>893677786</v>
      </c>
      <c r="D63">
        <f>INDEX(DispensingDays,MATCH(B63,DDMonth,0),MATCH($A$52,DDYear,0))</f>
        <v>26</v>
      </c>
      <c r="E63" s="54">
        <f t="shared" si="2"/>
        <v>34372222.538461536</v>
      </c>
    </row>
    <row r="64" spans="1:7" x14ac:dyDescent="0.25">
      <c r="A64" t="str">
        <f>Data!G6</f>
        <v>2025/26</v>
      </c>
      <c r="B64" t="s">
        <v>8</v>
      </c>
      <c r="C64" s="28">
        <f>IF(Data!G7&lt;&gt;0,Data!G7+Data!G24,0)</f>
        <v>0</v>
      </c>
      <c r="D64">
        <f>INDEX(DispensingDays,MATCH(B64,DDMonth,0),MATCH($A$64,DDYear,0))</f>
        <v>24</v>
      </c>
      <c r="E64" s="54">
        <f t="shared" si="2"/>
        <v>0</v>
      </c>
      <c r="G64">
        <f>MATCH($A$64,DDYear,0)</f>
        <v>22</v>
      </c>
    </row>
    <row r="65" spans="1:5" x14ac:dyDescent="0.25">
      <c r="A65" t="str">
        <f>A64</f>
        <v>2025/26</v>
      </c>
      <c r="B65" t="s">
        <v>9</v>
      </c>
      <c r="C65" s="28">
        <f>IF(Data!G8&lt;&gt;0,Data!G8+Data!G25,0)</f>
        <v>0</v>
      </c>
      <c r="D65">
        <f t="shared" ref="D65:D75" si="11">INDEX(DispensingDays,MATCH(B65,DDMonth,0),MATCH($A$64,DDYear,0))</f>
        <v>25</v>
      </c>
      <c r="E65" s="54">
        <f t="shared" si="2"/>
        <v>0</v>
      </c>
    </row>
    <row r="66" spans="1:5" x14ac:dyDescent="0.25">
      <c r="A66" t="str">
        <f>A65</f>
        <v>2025/26</v>
      </c>
      <c r="B66" t="s">
        <v>10</v>
      </c>
      <c r="C66" s="28">
        <f>IF(Data!G9&lt;&gt;0,Data!G9+Data!G26,0)</f>
        <v>0</v>
      </c>
      <c r="D66">
        <f t="shared" si="11"/>
        <v>25</v>
      </c>
      <c r="E66" s="54">
        <f t="shared" si="2"/>
        <v>0</v>
      </c>
    </row>
    <row r="67" spans="1:5" x14ac:dyDescent="0.25">
      <c r="A67" t="str">
        <f>A66</f>
        <v>2025/26</v>
      </c>
      <c r="B67" t="s">
        <v>11</v>
      </c>
      <c r="C67" s="28">
        <f>IF(Data!G10&lt;&gt;0,Data!G10+Data!G27,0)</f>
        <v>0</v>
      </c>
      <c r="D67">
        <f t="shared" si="11"/>
        <v>27</v>
      </c>
      <c r="E67" s="54">
        <f t="shared" si="2"/>
        <v>0</v>
      </c>
    </row>
    <row r="68" spans="1:5" x14ac:dyDescent="0.25">
      <c r="A68" t="str">
        <f>A67</f>
        <v>2025/26</v>
      </c>
      <c r="B68" t="s">
        <v>12</v>
      </c>
      <c r="C68" s="28">
        <f>IF(Data!G11&lt;&gt;0,Data!G11+Data!G28,0)</f>
        <v>0</v>
      </c>
      <c r="D68">
        <f t="shared" si="11"/>
        <v>25</v>
      </c>
      <c r="E68" s="54">
        <f t="shared" si="2"/>
        <v>0</v>
      </c>
    </row>
    <row r="69" spans="1:5" x14ac:dyDescent="0.25">
      <c r="A69" t="str">
        <f>A68</f>
        <v>2025/26</v>
      </c>
      <c r="B69" t="s">
        <v>13</v>
      </c>
      <c r="C69" s="28">
        <f>IF(Data!G12&lt;&gt;0,Data!G12+Data!G29,0)</f>
        <v>0</v>
      </c>
      <c r="D69">
        <f t="shared" si="11"/>
        <v>26</v>
      </c>
      <c r="E69" s="54">
        <f t="shared" ref="E69:E74" si="12">C69/D69</f>
        <v>0</v>
      </c>
    </row>
    <row r="70" spans="1:5" x14ac:dyDescent="0.25">
      <c r="A70" t="str">
        <f t="shared" ref="A70:A75" si="13">A69</f>
        <v>2025/26</v>
      </c>
      <c r="B70" t="s">
        <v>14</v>
      </c>
      <c r="C70" s="28">
        <f>IF(Data!G13&lt;&gt;0,Data!G13+Data!G30,0)</f>
        <v>0</v>
      </c>
      <c r="D70">
        <f t="shared" si="11"/>
        <v>27</v>
      </c>
      <c r="E70" s="54">
        <f t="shared" si="12"/>
        <v>0</v>
      </c>
    </row>
    <row r="71" spans="1:5" x14ac:dyDescent="0.25">
      <c r="A71" t="str">
        <f t="shared" si="13"/>
        <v>2025/26</v>
      </c>
      <c r="B71" t="s">
        <v>15</v>
      </c>
      <c r="C71" s="28">
        <f>IF(Data!G14&lt;&gt;0,Data!G14+Data!G31,0)</f>
        <v>0</v>
      </c>
      <c r="D71">
        <f>INDEX(DispensingDays,MATCH(B71,DDMonth,0),MATCH($A$64,DDYear,0))</f>
        <v>25</v>
      </c>
      <c r="E71" s="54">
        <f>C71/D71</f>
        <v>0</v>
      </c>
    </row>
    <row r="72" spans="1:5" x14ac:dyDescent="0.25">
      <c r="A72" t="str">
        <f t="shared" si="13"/>
        <v>2025/26</v>
      </c>
      <c r="B72" t="s">
        <v>16</v>
      </c>
      <c r="C72" s="28">
        <f>IF(Data!G15&lt;&gt;0,Data!G15+Data!G32,0)</f>
        <v>0</v>
      </c>
      <c r="D72">
        <f t="shared" si="11"/>
        <v>25</v>
      </c>
      <c r="E72" s="54">
        <f t="shared" si="12"/>
        <v>0</v>
      </c>
    </row>
    <row r="73" spans="1:5" x14ac:dyDescent="0.25">
      <c r="A73" t="str">
        <f t="shared" si="13"/>
        <v>2025/26</v>
      </c>
      <c r="B73" t="s">
        <v>17</v>
      </c>
      <c r="C73" s="28">
        <f>IF(Data!G16&lt;&gt;0,Data!G16+Data!G33,0)</f>
        <v>0</v>
      </c>
      <c r="D73">
        <f t="shared" si="11"/>
        <v>26</v>
      </c>
      <c r="E73" s="54">
        <f t="shared" si="12"/>
        <v>0</v>
      </c>
    </row>
    <row r="74" spans="1:5" x14ac:dyDescent="0.25">
      <c r="A74" t="str">
        <f t="shared" si="13"/>
        <v>2025/26</v>
      </c>
      <c r="B74" t="s">
        <v>18</v>
      </c>
      <c r="C74" s="28">
        <f>IF(Data!G17&lt;&gt;0,Data!G17+Data!G34,0)</f>
        <v>0</v>
      </c>
      <c r="D74">
        <f t="shared" si="11"/>
        <v>24</v>
      </c>
      <c r="E74" s="54">
        <f t="shared" si="12"/>
        <v>0</v>
      </c>
    </row>
    <row r="75" spans="1:5" x14ac:dyDescent="0.25">
      <c r="A75" t="str">
        <f t="shared" si="13"/>
        <v>2025/26</v>
      </c>
      <c r="B75" t="s">
        <v>19</v>
      </c>
      <c r="C75" s="28">
        <f>IF(Data!G18&lt;&gt;0,Data!G18+Data!G35,0)</f>
        <v>0</v>
      </c>
      <c r="D75">
        <f t="shared" si="11"/>
        <v>26</v>
      </c>
      <c r="E75" s="54">
        <f>C75/D75</f>
        <v>0</v>
      </c>
    </row>
    <row r="82" spans="2:2" x14ac:dyDescent="0.25">
      <c r="B82" s="11"/>
    </row>
  </sheetData>
  <phoneticPr fontId="3"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5BEE7-6CCC-476E-850C-FF4F01735B60}">
  <sheetPr>
    <tabColor rgb="FF7030A0"/>
  </sheetPr>
  <dimension ref="A1"/>
  <sheetViews>
    <sheetView showGridLines="0" topLeftCell="A20" workbookViewId="0">
      <selection activeCell="G20" sqref="G20"/>
    </sheetView>
  </sheetViews>
  <sheetFormatPr defaultRowHeight="12.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O60"/>
  <sheetViews>
    <sheetView tabSelected="1" topLeftCell="A3" zoomScale="80" zoomScaleNormal="80" workbookViewId="0">
      <selection activeCell="J21" sqref="J21"/>
    </sheetView>
  </sheetViews>
  <sheetFormatPr defaultColWidth="9.1796875" defaultRowHeight="12.5" x14ac:dyDescent="0.25"/>
  <cols>
    <col min="1" max="1" width="13.81640625" style="4" customWidth="1"/>
    <col min="2" max="5" width="13.81640625" style="38" customWidth="1"/>
    <col min="6" max="6" width="16.81640625" style="38" bestFit="1" customWidth="1"/>
    <col min="7" max="7" width="13.81640625" style="38" customWidth="1"/>
    <col min="8" max="8" width="9.1796875" style="4"/>
    <col min="9" max="14" width="12.81640625" style="4" customWidth="1"/>
    <col min="15" max="16384" width="9.1796875" style="4"/>
  </cols>
  <sheetData>
    <row r="1" spans="1:15" ht="23" x14ac:dyDescent="0.5">
      <c r="A1" s="15" t="s">
        <v>35</v>
      </c>
    </row>
    <row r="3" spans="1:15" ht="15.5" x14ac:dyDescent="0.35">
      <c r="A3" s="3" t="s">
        <v>36</v>
      </c>
      <c r="D3" s="39" t="str">
        <f>IF(OR(H7&lt;&gt;"",H8&lt;&gt;"",H9&lt;&gt;"",H10&lt;&gt;"",H11&lt;&gt;"",H12&lt;&gt;"",H13&lt;&gt;"",H14&lt;&gt;"",H15&lt;&gt;"",H16&lt;&gt;"",H17&lt;&gt;"",H18&lt;&gt;"",H24&lt;&gt;"",H25&lt;&gt;"",H26&lt;&gt;"",H27&lt;&gt;"",H28&lt;&gt;"",H29&lt;&gt;"",H30&lt;&gt;"",H31&lt;&gt;"",H32&lt;&gt;"",H33&lt;&gt;"",H34&lt;&gt;"",H35&lt;&gt;""),"Data missing, forecast will not run","")</f>
        <v/>
      </c>
      <c r="O3" s="9"/>
    </row>
    <row r="5" spans="1:15" x14ac:dyDescent="0.25">
      <c r="A5" s="6"/>
      <c r="B5" s="160" t="s">
        <v>37</v>
      </c>
      <c r="C5" s="161"/>
      <c r="D5" s="161"/>
      <c r="E5" s="161"/>
      <c r="F5" s="161"/>
      <c r="G5" s="162"/>
    </row>
    <row r="6" spans="1:15" x14ac:dyDescent="0.25">
      <c r="A6" s="30" t="s">
        <v>30</v>
      </c>
      <c r="B6" s="56" t="s">
        <v>42</v>
      </c>
      <c r="C6" s="56" t="s">
        <v>43</v>
      </c>
      <c r="D6" s="100" t="s">
        <v>119</v>
      </c>
      <c r="E6" s="100" t="s">
        <v>120</v>
      </c>
      <c r="F6" s="100" t="s">
        <v>126</v>
      </c>
      <c r="G6" s="100" t="s">
        <v>149</v>
      </c>
      <c r="J6" s="12"/>
    </row>
    <row r="7" spans="1:15" x14ac:dyDescent="0.25">
      <c r="A7" s="32" t="s">
        <v>8</v>
      </c>
      <c r="B7" s="119">
        <v>734019498</v>
      </c>
      <c r="C7" s="119">
        <v>740130884</v>
      </c>
      <c r="D7" s="119">
        <v>715641877</v>
      </c>
      <c r="E7" s="120">
        <v>784240796</v>
      </c>
      <c r="F7" s="121">
        <v>838304272</v>
      </c>
      <c r="G7" s="121"/>
      <c r="H7" s="10" t="str">
        <f>IF(OR(B7="",C7="",D7="",E7="",F7=""),"Data missing, please enter value in blank cell between B5 and F5","")</f>
        <v/>
      </c>
      <c r="I7" s="35"/>
      <c r="J7" s="35"/>
      <c r="O7" s="9"/>
    </row>
    <row r="8" spans="1:15" x14ac:dyDescent="0.25">
      <c r="A8" s="13" t="s">
        <v>9</v>
      </c>
      <c r="B8" s="122">
        <v>688525672</v>
      </c>
      <c r="C8" s="122">
        <v>710224345</v>
      </c>
      <c r="D8" s="122">
        <v>758396524</v>
      </c>
      <c r="E8" s="123">
        <v>850180646</v>
      </c>
      <c r="F8" s="124">
        <v>860261036</v>
      </c>
      <c r="G8" s="124"/>
      <c r="H8" s="10" t="str">
        <f>IF(OR(B8="",C8="",D8="",E8="",F8=""),"Data missing, please enter value in blank cell between B6 and F6","")</f>
        <v/>
      </c>
      <c r="I8" s="35"/>
      <c r="J8" s="35"/>
      <c r="O8" s="9"/>
    </row>
    <row r="9" spans="1:15" x14ac:dyDescent="0.25">
      <c r="A9" s="13" t="s">
        <v>10</v>
      </c>
      <c r="B9" s="122">
        <v>723897914</v>
      </c>
      <c r="C9" s="122">
        <v>764962531</v>
      </c>
      <c r="D9" s="122">
        <v>747213071</v>
      </c>
      <c r="E9" s="123">
        <v>870835851</v>
      </c>
      <c r="F9" s="124">
        <v>818293525</v>
      </c>
      <c r="G9" s="124"/>
      <c r="H9" s="10" t="str">
        <f>IF(OR(B9="",C9="",D9="",E9="",F9=""),"Data missing, please enter value in blank cell between B7 and F7","")</f>
        <v/>
      </c>
      <c r="I9" s="35"/>
      <c r="J9" s="35"/>
      <c r="O9" s="9"/>
    </row>
    <row r="10" spans="1:15" x14ac:dyDescent="0.25">
      <c r="A10" s="13" t="s">
        <v>11</v>
      </c>
      <c r="B10" s="122">
        <v>748296870</v>
      </c>
      <c r="C10" s="122">
        <v>745307024</v>
      </c>
      <c r="D10" s="122">
        <v>761617539</v>
      </c>
      <c r="E10" s="123">
        <v>839204601</v>
      </c>
      <c r="F10" s="124">
        <v>906726125</v>
      </c>
      <c r="G10" s="124"/>
      <c r="H10" s="10" t="str">
        <f>IF(OR(B10="",C10="",D10="",E10="",F10=""),"Data missing, please enter value in blank cell between B8 and F8","")</f>
        <v/>
      </c>
      <c r="I10" s="35"/>
      <c r="J10" s="35"/>
      <c r="O10" s="9"/>
    </row>
    <row r="11" spans="1:15" x14ac:dyDescent="0.25">
      <c r="A11" s="13" t="s">
        <v>12</v>
      </c>
      <c r="B11" s="122">
        <v>676867632</v>
      </c>
      <c r="C11" s="122">
        <v>706930767</v>
      </c>
      <c r="D11" s="122">
        <v>780603879</v>
      </c>
      <c r="E11" s="123">
        <v>849975476</v>
      </c>
      <c r="F11" s="124">
        <v>871216220</v>
      </c>
      <c r="G11" s="124"/>
      <c r="H11" s="10" t="str">
        <f>IF(OR(B11="",C11="",D11="",E11="",F11=""),"Data missing, please enter value in blank cell between B9 and F9","")</f>
        <v/>
      </c>
      <c r="I11" s="35"/>
      <c r="J11" s="35"/>
      <c r="O11" s="9"/>
    </row>
    <row r="12" spans="1:15" x14ac:dyDescent="0.25">
      <c r="A12" s="13" t="s">
        <v>13</v>
      </c>
      <c r="B12" s="122">
        <v>759906815</v>
      </c>
      <c r="C12" s="122">
        <v>765664313</v>
      </c>
      <c r="D12" s="122">
        <v>800911367</v>
      </c>
      <c r="E12" s="123">
        <v>867235776</v>
      </c>
      <c r="F12" s="124">
        <v>836302017</v>
      </c>
      <c r="G12" s="124"/>
      <c r="H12" s="10" t="str">
        <f>IF(OR(B12="",C12="",D12="",E12="",F12=""),"Data missing, please enter value in blank cell between B10 and F10","")</f>
        <v/>
      </c>
      <c r="I12" s="35"/>
      <c r="J12" s="35"/>
      <c r="O12" s="9"/>
    </row>
    <row r="13" spans="1:15" x14ac:dyDescent="0.25">
      <c r="A13" s="13" t="s">
        <v>14</v>
      </c>
      <c r="B13" s="122">
        <v>784077994</v>
      </c>
      <c r="C13" s="122">
        <v>747291960</v>
      </c>
      <c r="D13" s="122">
        <v>838821711</v>
      </c>
      <c r="E13" s="123">
        <v>866732055</v>
      </c>
      <c r="F13" s="124">
        <v>934310445</v>
      </c>
      <c r="G13" s="124"/>
      <c r="H13" s="10" t="str">
        <f>IF(OR(B13="",C13="",D13="",E13="",F13=""),"Data missing, please enter value in blank cell between B11 and F11","")</f>
        <v/>
      </c>
      <c r="I13" s="35"/>
      <c r="J13" s="35"/>
      <c r="O13" s="9"/>
    </row>
    <row r="14" spans="1:15" x14ac:dyDescent="0.25">
      <c r="A14" s="13" t="s">
        <v>15</v>
      </c>
      <c r="B14" s="122">
        <v>733337818</v>
      </c>
      <c r="C14" s="122">
        <v>760653107</v>
      </c>
      <c r="D14" s="122">
        <v>835927099</v>
      </c>
      <c r="E14" s="123">
        <v>848718412</v>
      </c>
      <c r="F14" s="125">
        <v>853846241</v>
      </c>
      <c r="G14" s="125"/>
      <c r="H14" s="10" t="str">
        <f>IF(OR(B14="",C14="",D14="",E14="",F14=""),"Data missing, please enter value in blank cell between B12 and F12","")</f>
        <v/>
      </c>
      <c r="I14" s="35"/>
      <c r="J14" s="35"/>
      <c r="O14" s="9"/>
    </row>
    <row r="15" spans="1:15" x14ac:dyDescent="0.25">
      <c r="A15" s="13" t="s">
        <v>16</v>
      </c>
      <c r="B15" s="122">
        <v>773886385</v>
      </c>
      <c r="C15" s="122">
        <v>788130478</v>
      </c>
      <c r="D15" s="122">
        <v>856985364</v>
      </c>
      <c r="E15" s="123">
        <v>843625377</v>
      </c>
      <c r="F15" s="125">
        <v>871043643</v>
      </c>
      <c r="G15" s="125"/>
      <c r="H15" s="10" t="str">
        <f>IF(OR(B15="",C15="",D15="",E15="",F15=""),"Data missing, please enter value in blank cell between B13 and F13","")</f>
        <v/>
      </c>
      <c r="I15" s="35"/>
      <c r="J15" s="35"/>
      <c r="O15" s="9"/>
    </row>
    <row r="16" spans="1:15" x14ac:dyDescent="0.25">
      <c r="A16" s="13" t="s">
        <v>17</v>
      </c>
      <c r="B16" s="122">
        <v>729626495</v>
      </c>
      <c r="C16" s="122">
        <v>719891858</v>
      </c>
      <c r="D16" s="122">
        <v>843472628</v>
      </c>
      <c r="E16" s="123">
        <v>853908983</v>
      </c>
      <c r="F16" s="125">
        <v>877827479</v>
      </c>
      <c r="G16" s="125"/>
      <c r="H16" s="10" t="str">
        <f>IF(OR(B16="",C16="",D16="",E16="",F16=""),"Data missing, please enter value in blank cell between B14 and F14","")</f>
        <v/>
      </c>
      <c r="I16" s="35"/>
      <c r="J16" s="35"/>
      <c r="O16" s="9"/>
    </row>
    <row r="17" spans="1:15" x14ac:dyDescent="0.25">
      <c r="A17" s="13" t="s">
        <v>18</v>
      </c>
      <c r="B17" s="122">
        <v>682380296</v>
      </c>
      <c r="C17" s="122">
        <v>675443371</v>
      </c>
      <c r="D17" s="122">
        <v>772666207</v>
      </c>
      <c r="E17" s="123">
        <v>802975738</v>
      </c>
      <c r="F17" s="125">
        <v>783200998</v>
      </c>
      <c r="G17" s="125"/>
      <c r="H17" s="10" t="str">
        <f>IF(OR(B17="",C17="",D17="",E17="",F17=""),"Data missing, please enter value in blank cell between B15 and F15","")</f>
        <v/>
      </c>
      <c r="I17" s="35"/>
      <c r="O17" s="9"/>
    </row>
    <row r="18" spans="1:15" x14ac:dyDescent="0.25">
      <c r="A18" s="14" t="s">
        <v>19</v>
      </c>
      <c r="B18" s="126">
        <v>764304285</v>
      </c>
      <c r="C18" s="126">
        <v>772008329</v>
      </c>
      <c r="D18" s="126">
        <v>881429601</v>
      </c>
      <c r="E18" s="127">
        <v>814895820</v>
      </c>
      <c r="F18" s="128">
        <v>836417786</v>
      </c>
      <c r="G18" s="128"/>
      <c r="H18" s="10" t="str">
        <f>IF(OR(B18="",C18="",D18="",E18="",F18=""),"Data missing, please enter value in blank cell between B16 and F16","")</f>
        <v/>
      </c>
      <c r="I18" s="35"/>
      <c r="O18" s="9"/>
    </row>
    <row r="19" spans="1:15" x14ac:dyDescent="0.25">
      <c r="C19" s="40"/>
      <c r="D19" s="40"/>
      <c r="E19" s="40"/>
      <c r="F19" s="40"/>
      <c r="G19" s="40"/>
    </row>
    <row r="20" spans="1:15" ht="15.5" x14ac:dyDescent="0.35">
      <c r="A20" s="3" t="s">
        <v>44</v>
      </c>
    </row>
    <row r="21" spans="1:15" x14ac:dyDescent="0.25">
      <c r="J21" s="34"/>
      <c r="K21" s="34"/>
      <c r="L21" s="34"/>
      <c r="M21" s="34"/>
    </row>
    <row r="22" spans="1:15" x14ac:dyDescent="0.25">
      <c r="A22" s="5"/>
      <c r="B22" s="160" t="s">
        <v>37</v>
      </c>
      <c r="C22" s="161"/>
      <c r="D22" s="161"/>
      <c r="E22" s="161"/>
      <c r="F22" s="161"/>
      <c r="G22" s="162"/>
      <c r="J22" s="34"/>
      <c r="K22" s="34"/>
      <c r="L22" s="34"/>
      <c r="M22" s="34"/>
    </row>
    <row r="23" spans="1:15" x14ac:dyDescent="0.25">
      <c r="A23" s="29" t="s">
        <v>30</v>
      </c>
      <c r="B23" s="56" t="s">
        <v>42</v>
      </c>
      <c r="C23" s="56" t="s">
        <v>43</v>
      </c>
      <c r="D23" s="100" t="s">
        <v>119</v>
      </c>
      <c r="E23" s="116" t="s">
        <v>120</v>
      </c>
      <c r="F23" s="100" t="s">
        <v>126</v>
      </c>
      <c r="G23" s="100" t="s">
        <v>149</v>
      </c>
      <c r="J23" s="34"/>
      <c r="K23" s="34"/>
      <c r="L23" s="34"/>
      <c r="M23" s="34"/>
      <c r="N23" s="12"/>
    </row>
    <row r="24" spans="1:15" x14ac:dyDescent="0.25">
      <c r="A24" s="32" t="s">
        <v>8</v>
      </c>
      <c r="B24" s="129">
        <v>12000000</v>
      </c>
      <c r="C24" s="129">
        <v>-7766666.666666667</v>
      </c>
      <c r="D24" s="130">
        <v>33900000</v>
      </c>
      <c r="E24" s="122">
        <v>30466667</v>
      </c>
      <c r="F24" s="131">
        <v>48300000.000000007</v>
      </c>
      <c r="G24" s="163">
        <v>53160000</v>
      </c>
      <c r="H24" s="10" t="str">
        <f>IF(OR(B24="",C24="",D24="",E24="",F24="",G24=""),"Data missing, please enter value in blank cell between B22 and G22","")</f>
        <v/>
      </c>
      <c r="J24" s="34"/>
      <c r="K24" s="34"/>
      <c r="L24" s="34"/>
      <c r="M24" s="34"/>
      <c r="N24" s="8"/>
      <c r="O24" s="9"/>
    </row>
    <row r="25" spans="1:15" x14ac:dyDescent="0.25">
      <c r="A25" s="13" t="s">
        <v>9</v>
      </c>
      <c r="B25" s="132">
        <v>12000000</v>
      </c>
      <c r="C25" s="132">
        <v>-7766666.666666667</v>
      </c>
      <c r="D25" s="122">
        <v>33900000</v>
      </c>
      <c r="E25" s="122">
        <v>30466667</v>
      </c>
      <c r="F25" s="125">
        <v>48300000.000000007</v>
      </c>
      <c r="G25" s="125">
        <v>53160000</v>
      </c>
      <c r="H25" s="10" t="str">
        <f>IF(OR(B25="",C25="",D25="",E25="",F25="",G25=""),"Data missing, please enter value in blank cell between B23 and G23","")</f>
        <v/>
      </c>
      <c r="J25" s="34"/>
      <c r="K25" s="34"/>
      <c r="L25" s="34"/>
      <c r="M25" s="34"/>
      <c r="N25" s="8"/>
      <c r="O25" s="9"/>
    </row>
    <row r="26" spans="1:15" x14ac:dyDescent="0.25">
      <c r="A26" s="13" t="s">
        <v>10</v>
      </c>
      <c r="B26" s="132">
        <v>-3000000</v>
      </c>
      <c r="C26" s="132">
        <v>-7766666.666666667</v>
      </c>
      <c r="D26" s="122">
        <v>33900000</v>
      </c>
      <c r="E26" s="122">
        <v>30466667</v>
      </c>
      <c r="F26" s="125">
        <v>48300000.000000007</v>
      </c>
      <c r="G26" s="125">
        <v>53160000</v>
      </c>
      <c r="H26" s="10" t="str">
        <f>IF(OR(B26="",C26="",D26="",E26="",F26="",G26=""),"Data missing, please enter value in blank cell between B24 and G24","")</f>
        <v/>
      </c>
      <c r="J26" s="34"/>
      <c r="K26" s="34"/>
      <c r="L26" s="34"/>
      <c r="M26" s="34"/>
      <c r="N26" s="8"/>
      <c r="O26" s="9"/>
    </row>
    <row r="27" spans="1:15" x14ac:dyDescent="0.25">
      <c r="A27" s="13" t="s">
        <v>11</v>
      </c>
      <c r="B27" s="132">
        <v>-3000000</v>
      </c>
      <c r="C27" s="132">
        <v>8533333.3333333358</v>
      </c>
      <c r="D27" s="122">
        <v>33900000</v>
      </c>
      <c r="E27" s="122">
        <v>38400000</v>
      </c>
      <c r="F27" s="125">
        <v>48300000.000000007</v>
      </c>
      <c r="G27" s="125">
        <v>53160000</v>
      </c>
      <c r="H27" s="10" t="str">
        <f>IF(OR(B27="",C27="",D27="",E27="",F27="",G27=""),"Data missing, please enter value in blank cell between B25 and G25","")</f>
        <v/>
      </c>
      <c r="I27" s="47"/>
      <c r="J27" s="47"/>
      <c r="K27" s="47"/>
      <c r="L27" s="34"/>
      <c r="M27" s="34"/>
      <c r="N27" s="8"/>
      <c r="O27" s="9"/>
    </row>
    <row r="28" spans="1:15" x14ac:dyDescent="0.25">
      <c r="A28" s="13" t="s">
        <v>12</v>
      </c>
      <c r="B28" s="132">
        <v>-3000000</v>
      </c>
      <c r="C28" s="132">
        <v>8533333.3333333358</v>
      </c>
      <c r="D28" s="122">
        <v>33900000</v>
      </c>
      <c r="E28" s="122">
        <v>38400000</v>
      </c>
      <c r="F28" s="125">
        <v>48300000.000000007</v>
      </c>
      <c r="G28" s="125">
        <v>53160000</v>
      </c>
      <c r="H28" s="10" t="str">
        <f>IF(OR(B28="",C28="",D28="",E28="",F28="",G28=""),"Data missing, please enter value in blank cell between B26 and G26","")</f>
        <v/>
      </c>
      <c r="I28" s="47"/>
      <c r="J28" s="47"/>
      <c r="K28" s="47"/>
      <c r="L28" s="34"/>
      <c r="M28" s="34"/>
      <c r="N28" s="8"/>
      <c r="O28" s="9"/>
    </row>
    <row r="29" spans="1:15" x14ac:dyDescent="0.25">
      <c r="A29" s="13" t="s">
        <v>13</v>
      </c>
      <c r="B29" s="132">
        <v>-3000000</v>
      </c>
      <c r="C29" s="132">
        <v>8533333.3333333358</v>
      </c>
      <c r="D29" s="122">
        <v>33900000</v>
      </c>
      <c r="E29" s="122">
        <v>38400000</v>
      </c>
      <c r="F29" s="125">
        <v>48300000.000000007</v>
      </c>
      <c r="G29" s="125">
        <v>53160000</v>
      </c>
      <c r="H29" s="10" t="str">
        <f>IF(OR(B29="",C29="",D29="",E29="",F29="",G29=""),"Data missing, please enter value in blank cell between B27 and G27","")</f>
        <v/>
      </c>
      <c r="I29" s="47"/>
      <c r="J29" s="47"/>
      <c r="K29" s="47"/>
      <c r="L29" s="34"/>
      <c r="M29" s="34"/>
      <c r="N29" s="8"/>
      <c r="O29" s="9"/>
    </row>
    <row r="30" spans="1:15" x14ac:dyDescent="0.25">
      <c r="A30" s="13" t="s">
        <v>14</v>
      </c>
      <c r="B30" s="132">
        <v>4766666.666666667</v>
      </c>
      <c r="C30" s="132">
        <v>17466666.666666701</v>
      </c>
      <c r="D30" s="122">
        <v>31666667</v>
      </c>
      <c r="E30" s="122">
        <v>45400000.000000007</v>
      </c>
      <c r="F30" s="125">
        <v>51300000.000000007</v>
      </c>
      <c r="G30" s="125">
        <v>53160000</v>
      </c>
      <c r="H30" s="10" t="str">
        <f>IF(OR(B30="",C30="",D30="",E30="",F30="",G30=""),"Data missing, please enter value in blank cell between B28 and G28","")</f>
        <v/>
      </c>
      <c r="I30" s="47"/>
      <c r="J30" s="47"/>
      <c r="K30" s="47"/>
      <c r="L30" s="34"/>
      <c r="M30" s="34"/>
      <c r="N30" s="8"/>
      <c r="O30" s="9"/>
    </row>
    <row r="31" spans="1:15" x14ac:dyDescent="0.25">
      <c r="A31" s="13" t="s">
        <v>15</v>
      </c>
      <c r="B31" s="132">
        <v>4766666.666666667</v>
      </c>
      <c r="C31" s="132">
        <v>17466666.666666701</v>
      </c>
      <c r="D31" s="122">
        <v>31666667</v>
      </c>
      <c r="E31" s="122">
        <v>45400000.000000007</v>
      </c>
      <c r="F31" s="125">
        <v>51300000.000000007</v>
      </c>
      <c r="G31" s="125">
        <v>53160000</v>
      </c>
      <c r="H31" s="10" t="str">
        <f>IF(OR(B31="",C31="",D31="",E31="",F31="",G31=""),"Data missing, please enter value in blank cell between B29 and G29","")</f>
        <v/>
      </c>
      <c r="I31" s="47"/>
      <c r="J31" s="47"/>
      <c r="K31" s="47"/>
      <c r="L31" s="34"/>
      <c r="M31" s="34"/>
      <c r="N31" s="8"/>
      <c r="O31" s="9"/>
    </row>
    <row r="32" spans="1:15" x14ac:dyDescent="0.25">
      <c r="A32" s="13" t="s">
        <v>16</v>
      </c>
      <c r="B32" s="132">
        <v>4766666.666666667</v>
      </c>
      <c r="C32" s="132">
        <v>17466666.666666701</v>
      </c>
      <c r="D32" s="122">
        <v>30266667</v>
      </c>
      <c r="E32" s="122">
        <v>45400000.000000007</v>
      </c>
      <c r="F32" s="125">
        <v>51300000.000000007</v>
      </c>
      <c r="G32" s="125">
        <v>53160000</v>
      </c>
      <c r="H32" s="10" t="str">
        <f>IF(OR(B32="",C32="",D32="",E32="",F32="",G32=""),"Data missing, please enter value in blank cell between B30 and G30","")</f>
        <v/>
      </c>
      <c r="I32" s="47"/>
      <c r="J32" s="47"/>
      <c r="K32" s="47"/>
      <c r="L32" s="34"/>
      <c r="M32" s="34"/>
      <c r="N32" s="8"/>
      <c r="O32" s="9"/>
    </row>
    <row r="33" spans="1:15" x14ac:dyDescent="0.25">
      <c r="A33" s="13" t="s">
        <v>17</v>
      </c>
      <c r="B33" s="132">
        <v>-4299999.9999999991</v>
      </c>
      <c r="C33" s="132">
        <v>33900000</v>
      </c>
      <c r="D33" s="122">
        <v>30966667</v>
      </c>
      <c r="E33" s="122">
        <v>48300000.000000007</v>
      </c>
      <c r="F33" s="125">
        <v>57260000.000000007</v>
      </c>
      <c r="G33" s="125">
        <v>53160000</v>
      </c>
      <c r="H33" s="10" t="str">
        <f>IF(OR(B33="",C33="",D33="",E33="",F33="",G33=""),"Data missing, please enter value in blank cell between B31 and G31","")</f>
        <v/>
      </c>
      <c r="J33" s="34"/>
      <c r="K33" s="34"/>
      <c r="L33" s="34"/>
      <c r="M33" s="34"/>
      <c r="N33" s="8"/>
      <c r="O33" s="9"/>
    </row>
    <row r="34" spans="1:15" x14ac:dyDescent="0.25">
      <c r="A34" s="13" t="s">
        <v>18</v>
      </c>
      <c r="B34" s="132">
        <v>-4299999.9999999991</v>
      </c>
      <c r="C34" s="132">
        <v>33900000</v>
      </c>
      <c r="D34" s="122">
        <v>30966667</v>
      </c>
      <c r="E34" s="122">
        <v>48300000.000000007</v>
      </c>
      <c r="F34" s="125">
        <v>57260000.000000007</v>
      </c>
      <c r="G34" s="125">
        <v>53160000</v>
      </c>
      <c r="H34" s="10" t="str">
        <f>IF(OR(B34="",C34="",D34="",E34="",F34="",G34=""),"Data missing, please enter value in blank cell between B32 and G32","")</f>
        <v/>
      </c>
      <c r="J34" s="34"/>
      <c r="K34" s="34"/>
      <c r="L34" s="34"/>
      <c r="M34" s="34"/>
      <c r="N34" s="8"/>
      <c r="O34" s="9"/>
    </row>
    <row r="35" spans="1:15" x14ac:dyDescent="0.25">
      <c r="A35" s="14" t="s">
        <v>19</v>
      </c>
      <c r="B35" s="133">
        <v>-4299999.9999999991</v>
      </c>
      <c r="C35" s="133">
        <v>33900000</v>
      </c>
      <c r="D35" s="126">
        <v>30966667</v>
      </c>
      <c r="E35" s="126">
        <v>48300000.000000007</v>
      </c>
      <c r="F35" s="128">
        <v>57260000.000000007</v>
      </c>
      <c r="G35" s="128">
        <v>53160000</v>
      </c>
      <c r="H35" s="10" t="str">
        <f>IF(OR(B35="",C35="",D35="",E35="",F35="",G35=""),"Data missing, please enter value in blank cell between B33 and G33","")</f>
        <v/>
      </c>
      <c r="J35" s="34"/>
      <c r="K35" s="34"/>
      <c r="L35" s="34"/>
      <c r="M35" s="34"/>
      <c r="N35" s="8"/>
      <c r="O35" s="9"/>
    </row>
    <row r="36" spans="1:15" x14ac:dyDescent="0.25">
      <c r="J36" s="34"/>
      <c r="K36" s="34"/>
      <c r="L36" s="34"/>
      <c r="M36" s="34"/>
      <c r="N36" s="34"/>
    </row>
    <row r="37" spans="1:15" x14ac:dyDescent="0.25">
      <c r="A37" s="47"/>
      <c r="B37" s="48"/>
      <c r="C37" s="48"/>
      <c r="D37" s="48"/>
      <c r="E37" s="48"/>
      <c r="F37" s="48"/>
      <c r="G37" s="48"/>
      <c r="H37" s="47"/>
      <c r="I37" s="47"/>
      <c r="J37" s="34"/>
      <c r="K37" s="34"/>
      <c r="L37" s="34"/>
      <c r="M37" s="34"/>
      <c r="N37" s="34"/>
    </row>
    <row r="38" spans="1:15" x14ac:dyDescent="0.25">
      <c r="A38" s="47"/>
      <c r="B38" s="49"/>
      <c r="C38" s="49"/>
      <c r="D38" s="49"/>
      <c r="E38" s="49"/>
      <c r="F38" s="49"/>
      <c r="G38" s="49"/>
      <c r="H38" s="47"/>
      <c r="I38" s="47"/>
      <c r="J38" s="34"/>
      <c r="K38" s="34"/>
      <c r="L38" s="34"/>
      <c r="M38" s="34"/>
      <c r="N38" s="34"/>
    </row>
    <row r="39" spans="1:15" x14ac:dyDescent="0.25">
      <c r="A39" s="47"/>
      <c r="B39" s="50"/>
      <c r="C39" s="50"/>
      <c r="D39" s="50"/>
      <c r="E39" s="50"/>
      <c r="F39" s="50"/>
      <c r="G39" s="50"/>
      <c r="H39" s="47"/>
      <c r="I39" s="47"/>
      <c r="J39" s="34"/>
      <c r="K39" s="34"/>
      <c r="L39" s="34"/>
      <c r="M39" s="34"/>
      <c r="N39" s="34"/>
    </row>
    <row r="40" spans="1:15" x14ac:dyDescent="0.25">
      <c r="A40" s="47"/>
      <c r="B40" s="50"/>
      <c r="C40" s="50"/>
      <c r="D40" s="50"/>
      <c r="E40" s="50"/>
      <c r="F40" s="50"/>
      <c r="G40" s="50"/>
      <c r="H40" s="47"/>
      <c r="I40" s="47"/>
      <c r="J40" s="34"/>
      <c r="K40" s="34"/>
      <c r="L40" s="34"/>
      <c r="M40" s="34"/>
      <c r="N40" s="34"/>
    </row>
    <row r="41" spans="1:15" x14ac:dyDescent="0.25">
      <c r="A41" s="47"/>
      <c r="B41" s="50"/>
      <c r="C41" s="50"/>
      <c r="D41" s="50"/>
      <c r="E41" s="50"/>
      <c r="F41" s="50"/>
      <c r="G41" s="50"/>
      <c r="H41" s="47"/>
      <c r="I41" s="47"/>
      <c r="J41" s="34"/>
      <c r="K41" s="34"/>
      <c r="L41" s="34"/>
      <c r="M41" s="34"/>
      <c r="N41" s="34"/>
    </row>
    <row r="42" spans="1:15" x14ac:dyDescent="0.25">
      <c r="A42" s="47"/>
      <c r="B42" s="50"/>
      <c r="C42" s="50"/>
      <c r="D42" s="50"/>
      <c r="E42" s="50"/>
      <c r="F42" s="50"/>
      <c r="G42" s="50"/>
      <c r="H42" s="47"/>
      <c r="I42" s="47"/>
      <c r="J42" s="34"/>
      <c r="K42" s="34"/>
      <c r="L42" s="34"/>
      <c r="M42" s="34"/>
      <c r="N42" s="34"/>
    </row>
    <row r="43" spans="1:15" x14ac:dyDescent="0.25">
      <c r="A43" s="47"/>
      <c r="B43" s="50"/>
      <c r="C43" s="50"/>
      <c r="D43" s="50"/>
      <c r="E43" s="50"/>
      <c r="F43" s="50"/>
      <c r="G43" s="50"/>
      <c r="H43" s="47"/>
      <c r="I43" s="47"/>
      <c r="J43" s="34"/>
      <c r="K43" s="34"/>
      <c r="L43" s="34"/>
      <c r="M43" s="34"/>
      <c r="N43" s="34"/>
    </row>
    <row r="44" spans="1:15" x14ac:dyDescent="0.25">
      <c r="A44" s="47"/>
      <c r="B44" s="50"/>
      <c r="C44" s="50"/>
      <c r="D44" s="50"/>
      <c r="E44" s="50"/>
      <c r="F44" s="50"/>
      <c r="G44" s="50"/>
      <c r="H44" s="47"/>
      <c r="I44" s="47"/>
      <c r="J44" s="34"/>
      <c r="K44" s="34"/>
      <c r="L44" s="34"/>
      <c r="M44" s="34"/>
      <c r="N44" s="34"/>
    </row>
    <row r="45" spans="1:15" x14ac:dyDescent="0.25">
      <c r="A45" s="47"/>
      <c r="B45" s="50"/>
      <c r="C45" s="50"/>
      <c r="D45" s="50"/>
      <c r="E45" s="50"/>
      <c r="F45" s="50"/>
      <c r="G45" s="50"/>
      <c r="H45" s="47"/>
      <c r="I45" s="47"/>
      <c r="J45" s="34"/>
      <c r="K45" s="34"/>
      <c r="L45" s="34"/>
      <c r="M45" s="34"/>
      <c r="N45" s="34"/>
    </row>
    <row r="46" spans="1:15" x14ac:dyDescent="0.25">
      <c r="A46" s="47"/>
      <c r="B46" s="50"/>
      <c r="C46" s="50"/>
      <c r="D46" s="50"/>
      <c r="E46" s="50"/>
      <c r="F46" s="50"/>
      <c r="G46" s="50"/>
      <c r="H46" s="47"/>
      <c r="I46" s="47"/>
      <c r="J46" s="34"/>
      <c r="K46" s="34"/>
      <c r="L46" s="34"/>
      <c r="M46" s="34"/>
      <c r="N46" s="34"/>
    </row>
    <row r="47" spans="1:15" x14ac:dyDescent="0.25">
      <c r="A47" s="47"/>
      <c r="B47" s="50"/>
      <c r="C47" s="50"/>
      <c r="D47" s="50"/>
      <c r="E47" s="50"/>
      <c r="F47" s="50"/>
      <c r="G47" s="50"/>
      <c r="H47" s="47"/>
      <c r="I47" s="47"/>
      <c r="J47" s="34"/>
      <c r="K47" s="34"/>
      <c r="L47" s="34"/>
      <c r="M47" s="34"/>
      <c r="N47" s="34"/>
    </row>
    <row r="48" spans="1:15" x14ac:dyDescent="0.25">
      <c r="A48" s="47"/>
      <c r="B48" s="50"/>
      <c r="C48" s="50"/>
      <c r="D48" s="50"/>
      <c r="E48" s="50"/>
      <c r="F48" s="50"/>
      <c r="G48" s="50"/>
      <c r="H48" s="47"/>
      <c r="I48" s="47"/>
      <c r="J48" s="34"/>
      <c r="K48" s="34"/>
      <c r="L48" s="34"/>
      <c r="M48" s="34"/>
      <c r="N48" s="34"/>
    </row>
    <row r="49" spans="1:14" x14ac:dyDescent="0.25">
      <c r="A49" s="47"/>
      <c r="B49" s="50"/>
      <c r="C49" s="50"/>
      <c r="D49" s="50"/>
      <c r="E49" s="50"/>
      <c r="F49" s="50"/>
      <c r="G49" s="50"/>
      <c r="H49" s="47"/>
      <c r="I49" s="47"/>
      <c r="J49" s="34"/>
      <c r="K49" s="34"/>
      <c r="L49" s="34"/>
      <c r="M49" s="34"/>
      <c r="N49" s="34"/>
    </row>
    <row r="50" spans="1:14" x14ac:dyDescent="0.25">
      <c r="A50" s="47"/>
      <c r="B50" s="50"/>
      <c r="C50" s="50"/>
      <c r="D50" s="50"/>
      <c r="E50" s="50"/>
      <c r="F50" s="50"/>
      <c r="G50" s="50"/>
      <c r="H50" s="47"/>
      <c r="I50" s="47"/>
      <c r="J50" s="34"/>
      <c r="K50" s="34"/>
      <c r="L50" s="34"/>
      <c r="M50" s="34"/>
      <c r="N50" s="34"/>
    </row>
    <row r="51" spans="1:14" x14ac:dyDescent="0.25">
      <c r="A51" s="47"/>
      <c r="B51" s="48"/>
      <c r="C51" s="48"/>
      <c r="D51" s="48"/>
      <c r="E51" s="48"/>
      <c r="F51" s="48"/>
      <c r="G51" s="48"/>
      <c r="H51" s="47"/>
      <c r="I51" s="47"/>
    </row>
    <row r="52" spans="1:14" x14ac:dyDescent="0.25">
      <c r="A52" s="47"/>
      <c r="B52" s="48"/>
      <c r="C52" s="52"/>
      <c r="D52" s="52"/>
      <c r="E52" s="52"/>
      <c r="F52" s="52"/>
      <c r="G52" s="52"/>
      <c r="H52" s="47"/>
      <c r="I52" s="47"/>
    </row>
    <row r="53" spans="1:14" x14ac:dyDescent="0.25">
      <c r="A53" s="51"/>
      <c r="B53" s="48"/>
      <c r="C53" s="52"/>
      <c r="D53" s="52"/>
      <c r="E53" s="52"/>
      <c r="F53" s="52"/>
      <c r="G53" s="52"/>
      <c r="H53" s="47"/>
      <c r="I53" s="47"/>
    </row>
    <row r="54" spans="1:14" x14ac:dyDescent="0.25">
      <c r="A54" s="47"/>
      <c r="B54" s="48"/>
      <c r="C54" s="48"/>
      <c r="D54" s="48"/>
      <c r="E54" s="48"/>
      <c r="F54" s="48"/>
      <c r="G54" s="48"/>
      <c r="H54" s="47"/>
      <c r="I54" s="47"/>
    </row>
    <row r="55" spans="1:14" x14ac:dyDescent="0.25">
      <c r="A55" s="51"/>
      <c r="B55" s="48"/>
      <c r="C55" s="52"/>
      <c r="D55" s="52"/>
      <c r="E55" s="52"/>
      <c r="F55" s="52"/>
      <c r="G55" s="52"/>
      <c r="H55" s="47"/>
      <c r="I55" s="47"/>
    </row>
    <row r="56" spans="1:14" x14ac:dyDescent="0.25">
      <c r="A56" s="51"/>
      <c r="B56" s="48"/>
      <c r="C56" s="52"/>
      <c r="D56" s="52"/>
      <c r="E56" s="52"/>
      <c r="F56" s="52"/>
      <c r="G56" s="52"/>
      <c r="H56" s="47"/>
      <c r="I56" s="47"/>
    </row>
    <row r="57" spans="1:14" x14ac:dyDescent="0.25">
      <c r="A57" s="47"/>
      <c r="B57" s="48"/>
      <c r="C57" s="48"/>
      <c r="D57" s="48"/>
      <c r="E57" s="48"/>
      <c r="F57" s="48"/>
      <c r="G57" s="48"/>
      <c r="H57" s="47"/>
      <c r="I57" s="47"/>
    </row>
    <row r="58" spans="1:14" x14ac:dyDescent="0.25">
      <c r="A58" s="47"/>
      <c r="B58" s="48"/>
      <c r="C58" s="48"/>
      <c r="D58" s="48"/>
      <c r="E58" s="48"/>
      <c r="F58" s="53"/>
      <c r="G58" s="50"/>
      <c r="H58" s="47"/>
      <c r="I58" s="47"/>
    </row>
    <row r="59" spans="1:14" x14ac:dyDescent="0.25">
      <c r="A59" s="47"/>
      <c r="B59" s="48"/>
      <c r="C59" s="48"/>
      <c r="D59" s="48"/>
      <c r="E59" s="48"/>
      <c r="F59" s="48"/>
      <c r="G59" s="48"/>
      <c r="H59" s="47"/>
      <c r="I59" s="47"/>
    </row>
    <row r="60" spans="1:14" x14ac:dyDescent="0.25">
      <c r="A60" s="47"/>
      <c r="B60" s="48"/>
      <c r="C60" s="48"/>
      <c r="D60" s="48"/>
      <c r="E60" s="48"/>
      <c r="F60" s="48"/>
      <c r="G60" s="48"/>
      <c r="H60" s="47"/>
      <c r="I60" s="47"/>
    </row>
  </sheetData>
  <mergeCells count="2">
    <mergeCell ref="B22:G22"/>
    <mergeCell ref="B5:G5"/>
  </mergeCells>
  <phoneticPr fontId="0" type="noConversion"/>
  <pageMargins left="0.74803149606299213" right="0.74803149606299213" top="0.98425196850393704" bottom="0.98425196850393704" header="0.51181102362204722" footer="0.51181102362204722"/>
  <pageSetup paperSize="9" scale="7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V19"/>
  <sheetViews>
    <sheetView zoomScale="85" zoomScaleNormal="85" workbookViewId="0">
      <selection activeCell="A21" sqref="A21"/>
    </sheetView>
  </sheetViews>
  <sheetFormatPr defaultRowHeight="12.5" x14ac:dyDescent="0.25"/>
  <cols>
    <col min="2" max="4" width="9.1796875" customWidth="1"/>
  </cols>
  <sheetData>
    <row r="1" spans="1:22" ht="15.5" x14ac:dyDescent="0.35">
      <c r="A1" s="1" t="s">
        <v>32</v>
      </c>
    </row>
    <row r="3" spans="1:22" x14ac:dyDescent="0.25">
      <c r="B3" t="s">
        <v>75</v>
      </c>
      <c r="C3" t="s">
        <v>76</v>
      </c>
      <c r="D3" t="s">
        <v>77</v>
      </c>
      <c r="E3" t="s">
        <v>78</v>
      </c>
      <c r="F3" t="s">
        <v>79</v>
      </c>
      <c r="G3" t="s">
        <v>80</v>
      </c>
      <c r="H3" t="s">
        <v>81</v>
      </c>
      <c r="I3" t="s">
        <v>82</v>
      </c>
      <c r="J3" t="s">
        <v>83</v>
      </c>
      <c r="K3" t="s">
        <v>84</v>
      </c>
      <c r="L3" t="s">
        <v>85</v>
      </c>
      <c r="M3" t="s">
        <v>38</v>
      </c>
      <c r="N3" s="33" t="s">
        <v>39</v>
      </c>
      <c r="O3" s="33" t="s">
        <v>40</v>
      </c>
      <c r="P3" s="33" t="s">
        <v>41</v>
      </c>
      <c r="Q3" s="33" t="s">
        <v>42</v>
      </c>
      <c r="R3" s="33" t="s">
        <v>43</v>
      </c>
      <c r="S3" s="33" t="s">
        <v>119</v>
      </c>
      <c r="T3" s="33" t="s">
        <v>120</v>
      </c>
      <c r="U3" s="33" t="s">
        <v>126</v>
      </c>
      <c r="V3" s="33" t="s">
        <v>149</v>
      </c>
    </row>
    <row r="4" spans="1:22" x14ac:dyDescent="0.25">
      <c r="A4" t="s">
        <v>8</v>
      </c>
      <c r="B4">
        <v>26</v>
      </c>
      <c r="C4">
        <v>24</v>
      </c>
      <c r="D4">
        <v>23</v>
      </c>
      <c r="E4">
        <v>26</v>
      </c>
      <c r="F4">
        <v>24</v>
      </c>
      <c r="G4" s="33">
        <v>24</v>
      </c>
      <c r="H4" s="33">
        <v>23</v>
      </c>
      <c r="I4" s="16">
        <v>23</v>
      </c>
      <c r="J4">
        <v>25</v>
      </c>
      <c r="K4" s="31">
        <v>24</v>
      </c>
      <c r="L4">
        <v>24</v>
      </c>
      <c r="M4">
        <v>26</v>
      </c>
      <c r="N4">
        <v>23</v>
      </c>
      <c r="O4">
        <v>24</v>
      </c>
      <c r="P4">
        <v>24</v>
      </c>
      <c r="Q4">
        <v>24</v>
      </c>
      <c r="R4">
        <v>24</v>
      </c>
      <c r="S4">
        <v>24</v>
      </c>
      <c r="T4">
        <v>23</v>
      </c>
      <c r="U4">
        <v>25</v>
      </c>
      <c r="V4">
        <v>24</v>
      </c>
    </row>
    <row r="5" spans="1:22" x14ac:dyDescent="0.25">
      <c r="A5" t="s">
        <v>9</v>
      </c>
      <c r="B5">
        <v>24</v>
      </c>
      <c r="C5">
        <v>25</v>
      </c>
      <c r="D5">
        <v>25</v>
      </c>
      <c r="E5">
        <v>25</v>
      </c>
      <c r="F5">
        <v>24</v>
      </c>
      <c r="G5" s="33">
        <v>24</v>
      </c>
      <c r="H5" s="33">
        <v>24</v>
      </c>
      <c r="I5" s="16">
        <v>26</v>
      </c>
      <c r="J5">
        <v>25</v>
      </c>
      <c r="K5" s="31">
        <v>25</v>
      </c>
      <c r="L5">
        <v>24</v>
      </c>
      <c r="M5">
        <v>24</v>
      </c>
      <c r="N5">
        <v>25</v>
      </c>
      <c r="O5">
        <v>25</v>
      </c>
      <c r="P5">
        <v>25</v>
      </c>
      <c r="Q5">
        <v>24</v>
      </c>
      <c r="R5">
        <v>24</v>
      </c>
      <c r="S5">
        <v>25</v>
      </c>
      <c r="T5">
        <v>24</v>
      </c>
      <c r="U5">
        <v>25</v>
      </c>
      <c r="V5">
        <v>25</v>
      </c>
    </row>
    <row r="6" spans="1:22" x14ac:dyDescent="0.25">
      <c r="A6" t="s">
        <v>10</v>
      </c>
      <c r="B6">
        <v>26</v>
      </c>
      <c r="C6">
        <v>26</v>
      </c>
      <c r="D6">
        <v>26</v>
      </c>
      <c r="E6">
        <v>25</v>
      </c>
      <c r="F6">
        <v>26</v>
      </c>
      <c r="G6" s="33">
        <v>26</v>
      </c>
      <c r="H6" s="33">
        <v>26</v>
      </c>
      <c r="I6" s="16">
        <v>24</v>
      </c>
      <c r="J6">
        <v>25</v>
      </c>
      <c r="K6" s="31">
        <v>25</v>
      </c>
      <c r="L6">
        <v>26</v>
      </c>
      <c r="M6">
        <v>26</v>
      </c>
      <c r="N6">
        <v>26</v>
      </c>
      <c r="O6">
        <v>26</v>
      </c>
      <c r="P6">
        <v>25</v>
      </c>
      <c r="Q6">
        <v>26</v>
      </c>
      <c r="R6">
        <v>26</v>
      </c>
      <c r="S6">
        <v>24</v>
      </c>
      <c r="T6">
        <v>26</v>
      </c>
      <c r="U6">
        <v>25</v>
      </c>
      <c r="V6">
        <v>25</v>
      </c>
    </row>
    <row r="7" spans="1:22" x14ac:dyDescent="0.25">
      <c r="A7" t="s">
        <v>11</v>
      </c>
      <c r="B7">
        <v>26</v>
      </c>
      <c r="C7">
        <v>26</v>
      </c>
      <c r="D7">
        <v>26</v>
      </c>
      <c r="E7">
        <v>27</v>
      </c>
      <c r="F7">
        <v>27</v>
      </c>
      <c r="G7" s="33">
        <v>27</v>
      </c>
      <c r="H7" s="33">
        <v>26</v>
      </c>
      <c r="I7" s="16">
        <v>26</v>
      </c>
      <c r="J7">
        <v>27</v>
      </c>
      <c r="K7" s="31">
        <v>27</v>
      </c>
      <c r="L7">
        <v>27</v>
      </c>
      <c r="M7">
        <v>26</v>
      </c>
      <c r="N7">
        <v>26</v>
      </c>
      <c r="O7">
        <v>26</v>
      </c>
      <c r="P7">
        <v>27</v>
      </c>
      <c r="Q7">
        <v>27</v>
      </c>
      <c r="R7">
        <v>27</v>
      </c>
      <c r="S7">
        <v>26</v>
      </c>
      <c r="T7">
        <v>26</v>
      </c>
      <c r="U7">
        <v>27</v>
      </c>
      <c r="V7">
        <v>27</v>
      </c>
    </row>
    <row r="8" spans="1:22" x14ac:dyDescent="0.25">
      <c r="A8" t="s">
        <v>12</v>
      </c>
      <c r="B8">
        <v>26</v>
      </c>
      <c r="C8">
        <v>26</v>
      </c>
      <c r="D8">
        <v>26</v>
      </c>
      <c r="E8">
        <v>25</v>
      </c>
      <c r="F8">
        <v>25</v>
      </c>
      <c r="G8" s="33">
        <v>25</v>
      </c>
      <c r="H8" s="33">
        <v>26</v>
      </c>
      <c r="I8" s="16">
        <v>26</v>
      </c>
      <c r="J8">
        <v>26</v>
      </c>
      <c r="K8" s="31">
        <v>25</v>
      </c>
      <c r="L8">
        <v>25</v>
      </c>
      <c r="M8">
        <v>26</v>
      </c>
      <c r="N8">
        <v>26</v>
      </c>
      <c r="O8">
        <v>26</v>
      </c>
      <c r="P8">
        <v>26</v>
      </c>
      <c r="Q8">
        <v>25</v>
      </c>
      <c r="R8">
        <v>25</v>
      </c>
      <c r="S8">
        <v>26</v>
      </c>
      <c r="T8">
        <v>26</v>
      </c>
      <c r="U8">
        <v>26</v>
      </c>
      <c r="V8">
        <v>25</v>
      </c>
    </row>
    <row r="9" spans="1:22" x14ac:dyDescent="0.25">
      <c r="A9" t="s">
        <v>13</v>
      </c>
      <c r="B9">
        <v>26</v>
      </c>
      <c r="C9">
        <v>26</v>
      </c>
      <c r="D9">
        <v>25</v>
      </c>
      <c r="E9">
        <v>26</v>
      </c>
      <c r="F9">
        <v>26</v>
      </c>
      <c r="G9" s="33">
        <v>26</v>
      </c>
      <c r="H9" s="33">
        <v>26</v>
      </c>
      <c r="I9" s="16">
        <v>25</v>
      </c>
      <c r="J9">
        <v>25</v>
      </c>
      <c r="K9" s="31">
        <v>26</v>
      </c>
      <c r="L9">
        <v>26</v>
      </c>
      <c r="M9">
        <v>26</v>
      </c>
      <c r="N9">
        <v>26</v>
      </c>
      <c r="O9">
        <v>25</v>
      </c>
      <c r="P9">
        <v>25</v>
      </c>
      <c r="Q9">
        <v>26</v>
      </c>
      <c r="R9">
        <v>26</v>
      </c>
      <c r="S9">
        <v>25</v>
      </c>
      <c r="T9">
        <v>26</v>
      </c>
      <c r="U9">
        <v>25</v>
      </c>
      <c r="V9">
        <v>26</v>
      </c>
    </row>
    <row r="10" spans="1:22" x14ac:dyDescent="0.25">
      <c r="A10" t="s">
        <v>14</v>
      </c>
      <c r="B10">
        <v>26</v>
      </c>
      <c r="C10">
        <v>26</v>
      </c>
      <c r="D10">
        <v>27</v>
      </c>
      <c r="E10">
        <v>27</v>
      </c>
      <c r="F10">
        <v>27</v>
      </c>
      <c r="G10" s="33">
        <v>26</v>
      </c>
      <c r="H10" s="33">
        <v>26</v>
      </c>
      <c r="I10" s="16">
        <v>27</v>
      </c>
      <c r="J10">
        <v>27</v>
      </c>
      <c r="K10" s="31">
        <v>27</v>
      </c>
      <c r="L10">
        <v>27</v>
      </c>
      <c r="M10">
        <v>26</v>
      </c>
      <c r="N10">
        <v>26</v>
      </c>
      <c r="O10">
        <v>27</v>
      </c>
      <c r="P10">
        <v>27</v>
      </c>
      <c r="Q10">
        <v>27</v>
      </c>
      <c r="R10">
        <v>26</v>
      </c>
      <c r="S10">
        <v>26</v>
      </c>
      <c r="T10">
        <v>26</v>
      </c>
      <c r="U10">
        <v>27</v>
      </c>
      <c r="V10">
        <v>27</v>
      </c>
    </row>
    <row r="11" spans="1:22" x14ac:dyDescent="0.25">
      <c r="A11" t="s">
        <v>15</v>
      </c>
      <c r="B11">
        <v>26</v>
      </c>
      <c r="C11">
        <v>26</v>
      </c>
      <c r="D11">
        <v>26</v>
      </c>
      <c r="E11">
        <v>25</v>
      </c>
      <c r="F11">
        <v>25</v>
      </c>
      <c r="G11" s="33">
        <v>26</v>
      </c>
      <c r="H11" s="33">
        <v>26</v>
      </c>
      <c r="I11" s="16">
        <v>26</v>
      </c>
      <c r="J11">
        <v>26</v>
      </c>
      <c r="K11" s="31">
        <v>25</v>
      </c>
      <c r="L11">
        <v>25</v>
      </c>
      <c r="M11">
        <v>26</v>
      </c>
      <c r="N11">
        <v>26</v>
      </c>
      <c r="O11">
        <v>26</v>
      </c>
      <c r="P11">
        <v>26</v>
      </c>
      <c r="Q11">
        <v>25</v>
      </c>
      <c r="R11">
        <v>26</v>
      </c>
      <c r="S11">
        <v>26</v>
      </c>
      <c r="T11">
        <v>26</v>
      </c>
      <c r="U11">
        <v>26</v>
      </c>
      <c r="V11">
        <v>25</v>
      </c>
    </row>
    <row r="12" spans="1:22" x14ac:dyDescent="0.25">
      <c r="A12" t="s">
        <v>16</v>
      </c>
      <c r="B12">
        <v>24</v>
      </c>
      <c r="C12">
        <v>24</v>
      </c>
      <c r="D12">
        <v>24</v>
      </c>
      <c r="E12">
        <v>25</v>
      </c>
      <c r="F12">
        <v>24</v>
      </c>
      <c r="G12" s="33">
        <v>24</v>
      </c>
      <c r="H12">
        <v>25</v>
      </c>
      <c r="I12" s="16">
        <v>24</v>
      </c>
      <c r="J12">
        <v>24</v>
      </c>
      <c r="K12" s="31">
        <v>25</v>
      </c>
      <c r="L12">
        <v>24</v>
      </c>
      <c r="M12">
        <v>25</v>
      </c>
      <c r="N12">
        <v>24</v>
      </c>
      <c r="O12">
        <v>24</v>
      </c>
      <c r="P12">
        <v>24</v>
      </c>
      <c r="Q12">
        <v>24</v>
      </c>
      <c r="R12">
        <v>24</v>
      </c>
      <c r="S12">
        <v>25</v>
      </c>
      <c r="T12">
        <v>24</v>
      </c>
      <c r="U12">
        <v>24</v>
      </c>
      <c r="V12">
        <v>25</v>
      </c>
    </row>
    <row r="13" spans="1:22" x14ac:dyDescent="0.25">
      <c r="A13" t="s">
        <v>17</v>
      </c>
      <c r="B13">
        <v>25</v>
      </c>
      <c r="C13">
        <v>26</v>
      </c>
      <c r="D13">
        <v>26</v>
      </c>
      <c r="E13">
        <v>26</v>
      </c>
      <c r="F13">
        <v>25</v>
      </c>
      <c r="G13" s="33">
        <v>24</v>
      </c>
      <c r="H13" s="33">
        <v>25</v>
      </c>
      <c r="I13" s="16">
        <v>26</v>
      </c>
      <c r="J13">
        <v>26</v>
      </c>
      <c r="K13" s="31">
        <v>26</v>
      </c>
      <c r="L13">
        <v>25</v>
      </c>
      <c r="M13">
        <v>25</v>
      </c>
      <c r="N13">
        <v>26</v>
      </c>
      <c r="O13">
        <v>26</v>
      </c>
      <c r="P13">
        <v>26</v>
      </c>
      <c r="Q13">
        <v>25</v>
      </c>
      <c r="R13">
        <v>24</v>
      </c>
      <c r="S13">
        <v>25</v>
      </c>
      <c r="T13">
        <v>26</v>
      </c>
      <c r="U13">
        <v>26</v>
      </c>
      <c r="V13">
        <v>26</v>
      </c>
    </row>
    <row r="14" spans="1:22" x14ac:dyDescent="0.25">
      <c r="A14" t="s">
        <v>18</v>
      </c>
      <c r="B14">
        <v>24</v>
      </c>
      <c r="C14">
        <v>24</v>
      </c>
      <c r="D14">
        <v>25</v>
      </c>
      <c r="E14">
        <v>24</v>
      </c>
      <c r="F14">
        <v>24</v>
      </c>
      <c r="G14" s="33">
        <v>24</v>
      </c>
      <c r="H14" s="33">
        <v>25</v>
      </c>
      <c r="I14" s="16">
        <v>24</v>
      </c>
      <c r="J14">
        <v>24</v>
      </c>
      <c r="K14" s="31">
        <v>24</v>
      </c>
      <c r="L14">
        <v>25</v>
      </c>
      <c r="M14">
        <v>24</v>
      </c>
      <c r="N14">
        <v>24</v>
      </c>
      <c r="O14">
        <v>24</v>
      </c>
      <c r="P14">
        <v>25</v>
      </c>
      <c r="Q14">
        <v>24</v>
      </c>
      <c r="R14">
        <v>24</v>
      </c>
      <c r="S14">
        <v>24</v>
      </c>
      <c r="T14">
        <v>25</v>
      </c>
      <c r="U14">
        <v>24</v>
      </c>
      <c r="V14">
        <v>24</v>
      </c>
    </row>
    <row r="15" spans="1:22" x14ac:dyDescent="0.25">
      <c r="A15" t="s">
        <v>19</v>
      </c>
      <c r="B15">
        <v>27</v>
      </c>
      <c r="C15">
        <v>27</v>
      </c>
      <c r="D15">
        <v>24</v>
      </c>
      <c r="E15">
        <v>26</v>
      </c>
      <c r="F15">
        <v>27</v>
      </c>
      <c r="G15" s="33">
        <v>27</v>
      </c>
      <c r="H15" s="33">
        <v>27</v>
      </c>
      <c r="I15" s="16">
        <v>25</v>
      </c>
      <c r="J15">
        <v>26</v>
      </c>
      <c r="K15" s="31">
        <v>26</v>
      </c>
      <c r="L15">
        <v>25</v>
      </c>
      <c r="M15">
        <v>27</v>
      </c>
      <c r="N15">
        <v>26</v>
      </c>
      <c r="O15">
        <v>26</v>
      </c>
      <c r="P15">
        <v>26</v>
      </c>
      <c r="Q15">
        <v>27</v>
      </c>
      <c r="R15">
        <v>27</v>
      </c>
      <c r="S15">
        <v>27</v>
      </c>
      <c r="T15">
        <v>25</v>
      </c>
      <c r="U15">
        <v>26</v>
      </c>
      <c r="V15">
        <v>26</v>
      </c>
    </row>
    <row r="19" spans="1:1" x14ac:dyDescent="0.25">
      <c r="A19" s="101" t="s">
        <v>121</v>
      </c>
    </row>
  </sheetData>
  <phoneticPr fontId="3"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I30"/>
  <sheetViews>
    <sheetView workbookViewId="0">
      <selection activeCell="C12" sqref="C12"/>
    </sheetView>
  </sheetViews>
  <sheetFormatPr defaultRowHeight="12.5" x14ac:dyDescent="0.25"/>
  <cols>
    <col min="7" max="7" width="10" bestFit="1" customWidth="1"/>
    <col min="8" max="8" width="11.1796875" bestFit="1" customWidth="1"/>
  </cols>
  <sheetData>
    <row r="1" spans="1:9" x14ac:dyDescent="0.25">
      <c r="A1" t="s">
        <v>86</v>
      </c>
    </row>
    <row r="2" spans="1:9" ht="13" thickBot="1" x14ac:dyDescent="0.3"/>
    <row r="3" spans="1:9" ht="13" x14ac:dyDescent="0.3">
      <c r="A3" s="27" t="s">
        <v>87</v>
      </c>
      <c r="B3" s="27"/>
    </row>
    <row r="4" spans="1:9" x14ac:dyDescent="0.25">
      <c r="A4" t="s">
        <v>88</v>
      </c>
      <c r="B4">
        <v>0.94675904131896715</v>
      </c>
    </row>
    <row r="5" spans="1:9" x14ac:dyDescent="0.25">
      <c r="A5" t="s">
        <v>89</v>
      </c>
      <c r="B5">
        <v>0.89635268231920984</v>
      </c>
    </row>
    <row r="6" spans="1:9" x14ac:dyDescent="0.25">
      <c r="A6" t="s">
        <v>90</v>
      </c>
      <c r="B6">
        <v>0.89149421430292275</v>
      </c>
    </row>
    <row r="7" spans="1:9" x14ac:dyDescent="0.25">
      <c r="A7" t="s">
        <v>91</v>
      </c>
      <c r="B7">
        <v>19944088.611836858</v>
      </c>
    </row>
    <row r="8" spans="1:9" ht="13" thickBot="1" x14ac:dyDescent="0.3">
      <c r="A8" s="25" t="s">
        <v>92</v>
      </c>
      <c r="B8" s="25">
        <v>68</v>
      </c>
    </row>
    <row r="10" spans="1:9" ht="13" thickBot="1" x14ac:dyDescent="0.3">
      <c r="A10" t="s">
        <v>93</v>
      </c>
    </row>
    <row r="11" spans="1:9" ht="13" x14ac:dyDescent="0.3">
      <c r="A11" s="26"/>
      <c r="B11" s="26" t="s">
        <v>94</v>
      </c>
      <c r="C11" s="26" t="s">
        <v>95</v>
      </c>
      <c r="D11" s="26" t="s">
        <v>96</v>
      </c>
      <c r="E11" s="26" t="s">
        <v>97</v>
      </c>
      <c r="F11" s="26" t="s">
        <v>98</v>
      </c>
    </row>
    <row r="12" spans="1:9" x14ac:dyDescent="0.25">
      <c r="A12" t="s">
        <v>99</v>
      </c>
      <c r="B12">
        <v>3</v>
      </c>
      <c r="C12">
        <v>2.2015533758514627E+17</v>
      </c>
      <c r="D12">
        <v>7.3385112528382096E+16</v>
      </c>
      <c r="E12">
        <v>184.49286468787429</v>
      </c>
      <c r="F12">
        <v>1.9271858058638496E-31</v>
      </c>
    </row>
    <row r="13" spans="1:9" x14ac:dyDescent="0.25">
      <c r="A13" t="s">
        <v>100</v>
      </c>
      <c r="B13">
        <v>64</v>
      </c>
      <c r="C13">
        <v>2.5457066915635244E+16</v>
      </c>
      <c r="D13">
        <v>397766670556800.69</v>
      </c>
    </row>
    <row r="14" spans="1:9" ht="13" thickBot="1" x14ac:dyDescent="0.3">
      <c r="A14" s="25" t="s">
        <v>101</v>
      </c>
      <c r="B14" s="25">
        <v>67</v>
      </c>
      <c r="C14" s="25">
        <v>2.456124045007815E+17</v>
      </c>
      <c r="D14" s="25"/>
      <c r="E14" s="25"/>
      <c r="F14" s="25"/>
    </row>
    <row r="15" spans="1:9" ht="13" thickBot="1" x14ac:dyDescent="0.3"/>
    <row r="16" spans="1:9" ht="13" x14ac:dyDescent="0.3">
      <c r="A16" s="26"/>
      <c r="B16" s="26" t="s">
        <v>102</v>
      </c>
      <c r="C16" s="26" t="s">
        <v>91</v>
      </c>
      <c r="D16" s="26" t="s">
        <v>103</v>
      </c>
      <c r="E16" s="26" t="s">
        <v>104</v>
      </c>
      <c r="F16" s="26" t="s">
        <v>105</v>
      </c>
      <c r="G16" s="26" t="s">
        <v>106</v>
      </c>
      <c r="H16" s="26" t="s">
        <v>107</v>
      </c>
      <c r="I16" s="26" t="s">
        <v>108</v>
      </c>
    </row>
    <row r="17" spans="1:9" x14ac:dyDescent="0.25">
      <c r="A17" t="s">
        <v>109</v>
      </c>
      <c r="B17">
        <v>66259929.477924868</v>
      </c>
      <c r="C17">
        <v>60951714.340607792</v>
      </c>
      <c r="D17">
        <v>1.0870888570525503</v>
      </c>
      <c r="E17">
        <v>0.28107481274189733</v>
      </c>
      <c r="F17">
        <v>-55505117.741808459</v>
      </c>
      <c r="G17">
        <v>188024976.69765818</v>
      </c>
      <c r="H17">
        <v>-55505117.741808459</v>
      </c>
      <c r="I17">
        <v>188024976.69765818</v>
      </c>
    </row>
    <row r="18" spans="1:9" x14ac:dyDescent="0.25">
      <c r="A18" t="s">
        <v>110</v>
      </c>
      <c r="B18">
        <v>20461180.263346486</v>
      </c>
      <c r="C18">
        <v>2334475.0219550529</v>
      </c>
      <c r="D18">
        <v>8.7647886873558658</v>
      </c>
      <c r="E18">
        <v>1.4580514625249047E-12</v>
      </c>
      <c r="F18">
        <v>15797530.284722924</v>
      </c>
      <c r="G18">
        <v>25124830.241970047</v>
      </c>
      <c r="H18">
        <v>15797530.284722924</v>
      </c>
      <c r="I18">
        <v>25124830.241970047</v>
      </c>
    </row>
    <row r="19" spans="1:9" x14ac:dyDescent="0.25">
      <c r="A19" t="s">
        <v>111</v>
      </c>
      <c r="B19">
        <v>31829427.766404893</v>
      </c>
      <c r="C19">
        <v>1472502.2174283722</v>
      </c>
      <c r="D19">
        <v>21.615877646685576</v>
      </c>
      <c r="E19">
        <v>4.0966149445591268E-31</v>
      </c>
      <c r="F19">
        <v>28887766.420599669</v>
      </c>
      <c r="G19">
        <v>34771089.112210117</v>
      </c>
      <c r="H19">
        <v>28887766.420599669</v>
      </c>
      <c r="I19">
        <v>34771089.112210117</v>
      </c>
    </row>
    <row r="20" spans="1:9" ht="13" thickBot="1" x14ac:dyDescent="0.3">
      <c r="A20" s="25" t="s">
        <v>112</v>
      </c>
      <c r="B20" s="25">
        <v>3483634.5766923139</v>
      </c>
      <c r="C20" s="25">
        <v>734600.52023061051</v>
      </c>
      <c r="D20" s="25">
        <v>4.7422163213261941</v>
      </c>
      <c r="E20" s="25">
        <v>1.2235989511495012E-5</v>
      </c>
      <c r="F20" s="25">
        <v>2016101.3333504172</v>
      </c>
      <c r="G20" s="25">
        <v>4951167.8200342106</v>
      </c>
      <c r="H20" s="25">
        <v>2016101.3333504172</v>
      </c>
      <c r="I20" s="25">
        <v>4951167.8200342106</v>
      </c>
    </row>
    <row r="27" spans="1:9" x14ac:dyDescent="0.25">
      <c r="A27">
        <v>24</v>
      </c>
      <c r="B27">
        <v>6</v>
      </c>
      <c r="C27">
        <v>12</v>
      </c>
      <c r="D27">
        <v>642566770.65031099</v>
      </c>
      <c r="G27">
        <f>$B$17+A27*$B$18+B27*$B$19+C27*B20</f>
        <v>790108437.31697762</v>
      </c>
      <c r="H27" s="28">
        <f>G27-Data!G32</f>
        <v>736948437.31697762</v>
      </c>
    </row>
    <row r="28" spans="1:9" x14ac:dyDescent="0.25">
      <c r="A28">
        <v>26</v>
      </c>
      <c r="B28">
        <v>6</v>
      </c>
      <c r="C28">
        <v>4</v>
      </c>
      <c r="D28">
        <v>655620054.56346548</v>
      </c>
      <c r="G28">
        <f t="shared" ref="G28:G30" si="0">$B$17+A28*$B$18+B28*$B$19+C28*B21</f>
        <v>789227182.92336285</v>
      </c>
      <c r="H28" s="28">
        <f>G28-Data!G33</f>
        <v>736067182.92336285</v>
      </c>
    </row>
    <row r="29" spans="1:9" x14ac:dyDescent="0.25">
      <c r="A29">
        <v>24</v>
      </c>
      <c r="B29">
        <v>6</v>
      </c>
      <c r="C29">
        <v>1</v>
      </c>
      <c r="D29">
        <v>604246790.30669558</v>
      </c>
      <c r="G29">
        <f t="shared" si="0"/>
        <v>748304822.39666986</v>
      </c>
      <c r="H29" s="28">
        <f>G29-Data!G34</f>
        <v>695144822.39666986</v>
      </c>
    </row>
    <row r="30" spans="1:9" x14ac:dyDescent="0.25">
      <c r="A30">
        <v>26</v>
      </c>
      <c r="B30">
        <v>6</v>
      </c>
      <c r="C30">
        <v>6</v>
      </c>
      <c r="D30">
        <v>662587323.71685016</v>
      </c>
      <c r="G30">
        <f t="shared" si="0"/>
        <v>789227182.92336285</v>
      </c>
      <c r="H30" s="28">
        <f>G30-Data!G35</f>
        <v>736067182.92336285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indexed="31"/>
    <pageSetUpPr fitToPage="1"/>
  </sheetPr>
  <dimension ref="A1:G27"/>
  <sheetViews>
    <sheetView workbookViewId="0">
      <selection activeCell="C25" sqref="C25"/>
    </sheetView>
  </sheetViews>
  <sheetFormatPr defaultColWidth="9.1796875" defaultRowHeight="12.5" x14ac:dyDescent="0.25"/>
  <cols>
    <col min="1" max="1" width="9.1796875" style="17"/>
    <col min="2" max="2" width="20.54296875" style="17" customWidth="1"/>
    <col min="3" max="3" width="16" style="17" customWidth="1"/>
    <col min="4" max="4" width="9.81640625" style="17" customWidth="1"/>
    <col min="5" max="5" width="9.1796875" style="17"/>
    <col min="6" max="6" width="15" style="17" bestFit="1" customWidth="1"/>
    <col min="7" max="16384" width="9.1796875" style="17"/>
  </cols>
  <sheetData>
    <row r="1" spans="1:6" ht="13" x14ac:dyDescent="0.3">
      <c r="A1" s="18" t="s">
        <v>45</v>
      </c>
      <c r="C1" s="17" t="s">
        <v>113</v>
      </c>
    </row>
    <row r="3" spans="1:6" x14ac:dyDescent="0.25">
      <c r="A3" s="17" t="s">
        <v>114</v>
      </c>
    </row>
    <row r="5" spans="1:6" x14ac:dyDescent="0.25">
      <c r="A5" s="89" t="s">
        <v>46</v>
      </c>
      <c r="B5" s="90" t="s">
        <v>47</v>
      </c>
      <c r="C5" s="90" t="s">
        <v>48</v>
      </c>
      <c r="D5" s="90" t="s">
        <v>49</v>
      </c>
    </row>
    <row r="6" spans="1:6" x14ac:dyDescent="0.25">
      <c r="A6" s="91">
        <v>37956</v>
      </c>
      <c r="B6" s="92" t="s">
        <v>51</v>
      </c>
      <c r="C6" s="90">
        <v>-150</v>
      </c>
      <c r="D6" s="93">
        <f t="shared" ref="D6:D23" si="0">C6/12</f>
        <v>-12.5</v>
      </c>
      <c r="F6" s="2"/>
    </row>
    <row r="7" spans="1:6" x14ac:dyDescent="0.25">
      <c r="A7" s="91">
        <v>38261</v>
      </c>
      <c r="B7" s="94" t="s">
        <v>52</v>
      </c>
      <c r="C7" s="95">
        <v>-150</v>
      </c>
      <c r="D7" s="93">
        <f t="shared" si="0"/>
        <v>-12.5</v>
      </c>
      <c r="F7" s="2"/>
    </row>
    <row r="8" spans="1:6" x14ac:dyDescent="0.25">
      <c r="A8" s="91">
        <v>38384</v>
      </c>
      <c r="B8" s="94" t="s">
        <v>53</v>
      </c>
      <c r="C8" s="95">
        <f>-1800/5</f>
        <v>-360</v>
      </c>
      <c r="D8" s="93">
        <f t="shared" si="0"/>
        <v>-30</v>
      </c>
      <c r="F8" s="2"/>
    </row>
    <row r="9" spans="1:6" x14ac:dyDescent="0.25">
      <c r="A9" s="91">
        <v>38443</v>
      </c>
      <c r="B9" s="94" t="s">
        <v>54</v>
      </c>
      <c r="C9" s="95">
        <v>-300</v>
      </c>
      <c r="D9" s="93">
        <f t="shared" si="0"/>
        <v>-25</v>
      </c>
      <c r="F9" s="2"/>
    </row>
    <row r="10" spans="1:6" x14ac:dyDescent="0.25">
      <c r="A10" s="91">
        <v>38991</v>
      </c>
      <c r="B10" s="94" t="s">
        <v>55</v>
      </c>
      <c r="C10" s="95">
        <v>-300</v>
      </c>
      <c r="D10" s="93">
        <f t="shared" si="0"/>
        <v>-25</v>
      </c>
      <c r="F10" s="2"/>
    </row>
    <row r="11" spans="1:6" ht="13" x14ac:dyDescent="0.3">
      <c r="A11" s="96">
        <v>39264</v>
      </c>
      <c r="B11" s="97" t="s">
        <v>56</v>
      </c>
      <c r="C11" s="95">
        <v>-120</v>
      </c>
      <c r="D11" s="93">
        <f t="shared" si="0"/>
        <v>-10</v>
      </c>
      <c r="F11" s="2"/>
    </row>
    <row r="12" spans="1:6" x14ac:dyDescent="0.25">
      <c r="A12" s="96">
        <v>39356</v>
      </c>
      <c r="B12" s="94" t="s">
        <v>57</v>
      </c>
      <c r="C12" s="95">
        <v>-400</v>
      </c>
      <c r="D12" s="93">
        <f t="shared" si="0"/>
        <v>-33.333333333333336</v>
      </c>
      <c r="F12" s="2"/>
    </row>
    <row r="13" spans="1:6" x14ac:dyDescent="0.25">
      <c r="A13" s="96">
        <v>39722</v>
      </c>
      <c r="B13" s="94" t="s">
        <v>58</v>
      </c>
      <c r="C13" s="95">
        <v>-130</v>
      </c>
      <c r="D13" s="93">
        <f t="shared" si="0"/>
        <v>-10.833333333333334</v>
      </c>
      <c r="F13" s="2"/>
    </row>
    <row r="14" spans="1:6" x14ac:dyDescent="0.25">
      <c r="A14" s="96">
        <v>39873</v>
      </c>
      <c r="B14" s="94" t="s">
        <v>115</v>
      </c>
      <c r="C14" s="90">
        <v>-160</v>
      </c>
      <c r="D14" s="93">
        <f t="shared" si="0"/>
        <v>-13.333333333333334</v>
      </c>
      <c r="F14" s="2"/>
    </row>
    <row r="15" spans="1:6" x14ac:dyDescent="0.25">
      <c r="A15" s="96">
        <v>40087</v>
      </c>
      <c r="B15" s="94" t="s">
        <v>60</v>
      </c>
      <c r="C15" s="90">
        <v>-80</v>
      </c>
      <c r="D15" s="93">
        <f t="shared" si="0"/>
        <v>-6.666666666666667</v>
      </c>
      <c r="F15" s="2"/>
    </row>
    <row r="16" spans="1:6" x14ac:dyDescent="0.25">
      <c r="A16" s="96">
        <v>40210</v>
      </c>
      <c r="B16" s="94" t="s">
        <v>116</v>
      </c>
      <c r="C16" s="90">
        <v>-80</v>
      </c>
      <c r="D16" s="93">
        <f t="shared" si="0"/>
        <v>-6.666666666666667</v>
      </c>
      <c r="F16" s="2"/>
    </row>
    <row r="17" spans="1:7" x14ac:dyDescent="0.25">
      <c r="A17" s="96">
        <v>40452</v>
      </c>
      <c r="B17" s="94" t="s">
        <v>62</v>
      </c>
      <c r="C17" s="90">
        <v>-240</v>
      </c>
      <c r="D17" s="93">
        <f t="shared" si="0"/>
        <v>-20</v>
      </c>
      <c r="F17" s="2"/>
    </row>
    <row r="18" spans="1:7" x14ac:dyDescent="0.25">
      <c r="A18" s="22">
        <v>40544</v>
      </c>
      <c r="B18" s="94" t="s">
        <v>117</v>
      </c>
      <c r="C18" s="90">
        <v>5.7</v>
      </c>
      <c r="D18" s="93">
        <f t="shared" si="0"/>
        <v>0.47500000000000003</v>
      </c>
      <c r="F18" s="2"/>
    </row>
    <row r="19" spans="1:7" x14ac:dyDescent="0.25">
      <c r="A19" s="96">
        <v>40634</v>
      </c>
      <c r="B19" s="94" t="s">
        <v>64</v>
      </c>
      <c r="C19" s="90">
        <v>-90</v>
      </c>
      <c r="D19" s="93">
        <f t="shared" si="0"/>
        <v>-7.5</v>
      </c>
      <c r="F19" s="2"/>
    </row>
    <row r="20" spans="1:7" x14ac:dyDescent="0.25">
      <c r="A20" s="22">
        <v>40634</v>
      </c>
      <c r="B20" s="20" t="s">
        <v>65</v>
      </c>
      <c r="C20" s="19">
        <v>-150</v>
      </c>
      <c r="D20" s="21">
        <f t="shared" si="0"/>
        <v>-12.5</v>
      </c>
      <c r="F20" s="2"/>
    </row>
    <row r="21" spans="1:7" x14ac:dyDescent="0.25">
      <c r="A21" s="98">
        <v>40817</v>
      </c>
      <c r="B21" s="94" t="s">
        <v>66</v>
      </c>
      <c r="C21" s="90">
        <v>-156</v>
      </c>
      <c r="D21" s="93">
        <f t="shared" si="0"/>
        <v>-13</v>
      </c>
      <c r="F21" s="2"/>
    </row>
    <row r="22" spans="1:7" x14ac:dyDescent="0.25">
      <c r="A22" s="98">
        <v>41000</v>
      </c>
      <c r="B22" s="94" t="s">
        <v>68</v>
      </c>
      <c r="C22" s="90">
        <v>-40</v>
      </c>
      <c r="D22" s="93">
        <f t="shared" si="0"/>
        <v>-3.3333333333333335</v>
      </c>
      <c r="F22" s="2"/>
    </row>
    <row r="23" spans="1:7" x14ac:dyDescent="0.25">
      <c r="A23" s="98">
        <v>41000</v>
      </c>
      <c r="B23" s="20" t="s">
        <v>65</v>
      </c>
      <c r="C23" s="19">
        <v>-100</v>
      </c>
      <c r="D23" s="93">
        <f t="shared" si="0"/>
        <v>-8.3333333333333339</v>
      </c>
      <c r="F23" s="2"/>
    </row>
    <row r="24" spans="1:7" x14ac:dyDescent="0.25">
      <c r="A24" s="98">
        <v>41061</v>
      </c>
      <c r="B24" s="94" t="s">
        <v>69</v>
      </c>
      <c r="C24" s="99">
        <v>-266.91289109999997</v>
      </c>
      <c r="D24" s="24">
        <v>-22.242740924999996</v>
      </c>
      <c r="G24" s="23"/>
    </row>
    <row r="25" spans="1:7" x14ac:dyDescent="0.25">
      <c r="A25" s="98">
        <v>41183</v>
      </c>
      <c r="B25" s="94" t="s">
        <v>70</v>
      </c>
      <c r="C25" s="95">
        <v>-185</v>
      </c>
      <c r="D25" s="93">
        <f>C25/12</f>
        <v>-15.416666666666666</v>
      </c>
    </row>
    <row r="27" spans="1:7" ht="13" x14ac:dyDescent="0.3">
      <c r="A27" s="18" t="s">
        <v>118</v>
      </c>
    </row>
  </sheetData>
  <pageMargins left="0.26" right="0.45" top="1" bottom="1" header="0.5" footer="0.5"/>
  <pageSetup paperSize="9" scale="57"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5EB21-798B-4068-AB39-40D836AE5C49}">
  <dimension ref="B2:K26"/>
  <sheetViews>
    <sheetView workbookViewId="0">
      <selection activeCell="K23" sqref="K23"/>
    </sheetView>
  </sheetViews>
  <sheetFormatPr defaultRowHeight="12.5" x14ac:dyDescent="0.25"/>
  <sheetData>
    <row r="2" spans="2:11" ht="13" x14ac:dyDescent="0.3">
      <c r="B2" s="57" t="s">
        <v>130</v>
      </c>
      <c r="K2" s="57" t="s">
        <v>131</v>
      </c>
    </row>
    <row r="24" spans="2:3" ht="13" x14ac:dyDescent="0.3">
      <c r="B24" s="57" t="s">
        <v>132</v>
      </c>
    </row>
    <row r="26" spans="2:3" x14ac:dyDescent="0.25">
      <c r="B26" s="117">
        <f>SUM('Output Profile'!C3:C14)</f>
        <v>0.99999999999999978</v>
      </c>
      <c r="C26" t="b">
        <f>B26=100%</f>
        <v>1</v>
      </c>
    </row>
  </sheetData>
  <conditionalFormatting sqref="C26">
    <cfRule type="cellIs" dxfId="1" priority="1" operator="equal">
      <formula>FALSE</formula>
    </cfRule>
    <cfRule type="cellIs" dxfId="0" priority="2" operator="equal">
      <formula>TRUE</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288A1-00B2-4F16-B2CC-95F9BE335EBD}">
  <dimension ref="A1:E19"/>
  <sheetViews>
    <sheetView workbookViewId="0">
      <selection activeCell="A5" sqref="A5"/>
    </sheetView>
  </sheetViews>
  <sheetFormatPr defaultRowHeight="12.5" x14ac:dyDescent="0.25"/>
  <cols>
    <col min="1" max="1" width="12.7265625" customWidth="1"/>
    <col min="2" max="2" width="15.453125" bestFit="1" customWidth="1"/>
    <col min="3" max="3" width="15.453125" customWidth="1"/>
    <col min="4" max="4" width="24.7265625" customWidth="1"/>
    <col min="5" max="5" width="54.26953125" customWidth="1"/>
  </cols>
  <sheetData>
    <row r="1" spans="1:5" ht="13" x14ac:dyDescent="0.3">
      <c r="A1" s="57" t="s">
        <v>46</v>
      </c>
      <c r="B1" s="57" t="s">
        <v>141</v>
      </c>
      <c r="C1" s="57" t="s">
        <v>134</v>
      </c>
      <c r="D1" s="57" t="s">
        <v>133</v>
      </c>
      <c r="E1" s="57" t="s">
        <v>143</v>
      </c>
    </row>
    <row r="2" spans="1:5" ht="25" x14ac:dyDescent="0.25">
      <c r="A2" s="118">
        <v>45719</v>
      </c>
      <c r="B2" s="151" t="s">
        <v>142</v>
      </c>
      <c r="C2" s="115" t="s">
        <v>135</v>
      </c>
      <c r="D2" s="115" t="s">
        <v>136</v>
      </c>
      <c r="E2" s="150" t="s">
        <v>140</v>
      </c>
    </row>
    <row r="3" spans="1:5" x14ac:dyDescent="0.25">
      <c r="A3" s="118">
        <v>45727</v>
      </c>
      <c r="B3" s="150" t="s">
        <v>142</v>
      </c>
      <c r="C3" s="150" t="s">
        <v>144</v>
      </c>
      <c r="D3" s="150" t="s">
        <v>145</v>
      </c>
      <c r="E3" s="150" t="s">
        <v>146</v>
      </c>
    </row>
    <row r="4" spans="1:5" ht="25" x14ac:dyDescent="0.25">
      <c r="A4" s="118">
        <v>45824</v>
      </c>
      <c r="B4" s="115">
        <v>2526</v>
      </c>
      <c r="C4" s="115" t="s">
        <v>135</v>
      </c>
      <c r="D4" s="115"/>
      <c r="E4" s="115" t="s">
        <v>148</v>
      </c>
    </row>
    <row r="5" spans="1:5" x14ac:dyDescent="0.25">
      <c r="A5" s="115"/>
      <c r="B5" s="115"/>
      <c r="C5" s="115"/>
      <c r="D5" s="115"/>
      <c r="E5" s="115"/>
    </row>
    <row r="6" spans="1:5" x14ac:dyDescent="0.25">
      <c r="A6" s="115"/>
      <c r="B6" s="115"/>
      <c r="C6" s="115"/>
      <c r="D6" s="115"/>
      <c r="E6" s="115"/>
    </row>
    <row r="7" spans="1:5" x14ac:dyDescent="0.25">
      <c r="A7" s="115"/>
      <c r="B7" s="115"/>
      <c r="C7" s="115"/>
      <c r="D7" s="115"/>
      <c r="E7" s="115"/>
    </row>
    <row r="8" spans="1:5" x14ac:dyDescent="0.25">
      <c r="A8" s="115"/>
      <c r="B8" s="115"/>
      <c r="C8" s="115"/>
      <c r="D8" s="115"/>
      <c r="E8" s="115"/>
    </row>
    <row r="9" spans="1:5" x14ac:dyDescent="0.25">
      <c r="A9" s="115"/>
      <c r="B9" s="115"/>
      <c r="C9" s="115"/>
      <c r="D9" s="115"/>
      <c r="E9" s="115"/>
    </row>
    <row r="10" spans="1:5" x14ac:dyDescent="0.25">
      <c r="A10" s="115"/>
      <c r="B10" s="115"/>
      <c r="C10" s="115"/>
      <c r="D10" s="115"/>
      <c r="E10" s="115"/>
    </row>
    <row r="11" spans="1:5" x14ac:dyDescent="0.25">
      <c r="A11" s="115"/>
      <c r="B11" s="115"/>
      <c r="C11" s="115"/>
      <c r="D11" s="115"/>
      <c r="E11" s="115"/>
    </row>
    <row r="12" spans="1:5" x14ac:dyDescent="0.25">
      <c r="A12" s="115"/>
      <c r="B12" s="115"/>
      <c r="C12" s="115"/>
      <c r="D12" s="115"/>
      <c r="E12" s="115"/>
    </row>
    <row r="13" spans="1:5" x14ac:dyDescent="0.25">
      <c r="A13" s="115"/>
      <c r="B13" s="115"/>
      <c r="C13" s="115"/>
      <c r="D13" s="115"/>
      <c r="E13" s="115"/>
    </row>
    <row r="14" spans="1:5" x14ac:dyDescent="0.25">
      <c r="A14" s="115"/>
      <c r="B14" s="115"/>
      <c r="C14" s="115"/>
      <c r="D14" s="115"/>
      <c r="E14" s="115"/>
    </row>
    <row r="15" spans="1:5" x14ac:dyDescent="0.25">
      <c r="A15" s="115"/>
      <c r="B15" s="115"/>
      <c r="C15" s="115"/>
      <c r="D15" s="115"/>
      <c r="E15" s="115"/>
    </row>
    <row r="16" spans="1:5" x14ac:dyDescent="0.25">
      <c r="A16" s="115"/>
      <c r="B16" s="115"/>
      <c r="C16" s="115"/>
      <c r="D16" s="115"/>
      <c r="E16" s="115"/>
    </row>
    <row r="17" spans="1:5" x14ac:dyDescent="0.25">
      <c r="A17" s="115"/>
      <c r="B17" s="115"/>
      <c r="C17" s="115"/>
      <c r="D17" s="115"/>
      <c r="E17" s="115"/>
    </row>
    <row r="18" spans="1:5" x14ac:dyDescent="0.25">
      <c r="A18" s="115"/>
      <c r="B18" s="115"/>
      <c r="C18" s="115"/>
      <c r="D18" s="115"/>
      <c r="E18" s="115"/>
    </row>
    <row r="19" spans="1:5" x14ac:dyDescent="0.25">
      <c r="A19" s="115"/>
      <c r="B19" s="115"/>
      <c r="C19" s="115"/>
      <c r="D19" s="115"/>
      <c r="E19" s="11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F8E0C-F4E9-4D1F-A763-0E88E61F7E00}">
  <sheetPr>
    <tabColor rgb="FF7030A0"/>
  </sheetPr>
  <dimension ref="A1"/>
  <sheetViews>
    <sheetView showGridLines="0" workbookViewId="0">
      <selection activeCell="G24" sqref="G24"/>
    </sheetView>
  </sheetViews>
  <sheetFormatPr defaultRowHeight="12.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08E30-00CF-4228-AE4F-71356BD3D9AC}">
  <dimension ref="B1:O32"/>
  <sheetViews>
    <sheetView showGridLines="0" workbookViewId="0">
      <selection activeCell="J2" sqref="J2:L14"/>
    </sheetView>
  </sheetViews>
  <sheetFormatPr defaultRowHeight="12.5" x14ac:dyDescent="0.25"/>
  <cols>
    <col min="2" max="4" width="12.81640625" customWidth="1"/>
    <col min="5" max="5" width="16.1796875" customWidth="1"/>
    <col min="6" max="6" width="15.453125" customWidth="1"/>
    <col min="7" max="7" width="10.81640625" customWidth="1"/>
    <col min="8" max="8" width="12" customWidth="1"/>
    <col min="10" max="10" width="11.453125" customWidth="1"/>
    <col min="11" max="11" width="11.54296875" customWidth="1"/>
    <col min="12" max="12" width="12.453125" customWidth="1"/>
  </cols>
  <sheetData>
    <row r="1" spans="2:15" x14ac:dyDescent="0.25">
      <c r="F1" s="33" t="s">
        <v>122</v>
      </c>
      <c r="J1" s="33" t="s">
        <v>125</v>
      </c>
    </row>
    <row r="2" spans="2:15" ht="29" x14ac:dyDescent="0.35">
      <c r="B2" s="72" t="str">
        <f>Data!G6</f>
        <v>2025/26</v>
      </c>
      <c r="C2" s="73" t="s">
        <v>24</v>
      </c>
      <c r="D2" s="73" t="s">
        <v>7</v>
      </c>
      <c r="F2" s="72" t="str">
        <f>B2</f>
        <v>2025/26</v>
      </c>
      <c r="G2" s="73" t="s">
        <v>24</v>
      </c>
      <c r="H2" s="73" t="s">
        <v>7</v>
      </c>
      <c r="J2" s="72" t="str">
        <f>F2</f>
        <v>2025/26</v>
      </c>
      <c r="K2" s="73" t="s">
        <v>24</v>
      </c>
      <c r="L2" s="73" t="s">
        <v>7</v>
      </c>
    </row>
    <row r="3" spans="2:15" ht="14.5" x14ac:dyDescent="0.35">
      <c r="B3" s="72" t="s">
        <v>8</v>
      </c>
      <c r="C3" s="74">
        <f>Forecasting!E4/Forecasting!$E$17</f>
        <v>7.9031046780337608E-2</v>
      </c>
      <c r="D3" s="74">
        <f>SUM($C$3:C3)</f>
        <v>7.9031046780337608E-2</v>
      </c>
      <c r="F3" s="72" t="s">
        <v>8</v>
      </c>
      <c r="G3" s="74">
        <f>ROUND(C3,4)</f>
        <v>7.9000000000000001E-2</v>
      </c>
      <c r="H3" s="74">
        <f>SUM($G$3:G3)</f>
        <v>7.9000000000000001E-2</v>
      </c>
      <c r="J3" s="72" t="s">
        <v>8</v>
      </c>
      <c r="K3" s="74">
        <f>ROUND(C3,4)</f>
        <v>7.9000000000000001E-2</v>
      </c>
      <c r="L3" s="74">
        <f>SUM($K$3:K3)</f>
        <v>7.9000000000000001E-2</v>
      </c>
    </row>
    <row r="4" spans="2:15" ht="14.5" x14ac:dyDescent="0.35">
      <c r="B4" s="72" t="s">
        <v>9</v>
      </c>
      <c r="C4" s="74">
        <f>Forecasting!E5/Forecasting!$E$17</f>
        <v>8.2276606783619574E-2</v>
      </c>
      <c r="D4" s="74">
        <f>SUM($C$3:C4)</f>
        <v>0.16130765356395718</v>
      </c>
      <c r="F4" s="72" t="s">
        <v>9</v>
      </c>
      <c r="G4" s="74">
        <f t="shared" ref="G4:G14" si="0">ROUND(C4,4)</f>
        <v>8.2299999999999998E-2</v>
      </c>
      <c r="H4" s="74">
        <f>SUM($G$3:G4)</f>
        <v>0.1613</v>
      </c>
      <c r="J4" s="72" t="s">
        <v>9</v>
      </c>
      <c r="K4" s="74">
        <f t="shared" ref="K4:K14" si="1">ROUND(C4,4)</f>
        <v>8.2299999999999998E-2</v>
      </c>
      <c r="L4" s="74">
        <f>SUM($K$3:K4)</f>
        <v>0.1613</v>
      </c>
    </row>
    <row r="5" spans="2:15" ht="14.5" x14ac:dyDescent="0.35">
      <c r="B5" s="72" t="s">
        <v>10</v>
      </c>
      <c r="C5" s="74">
        <f>Forecasting!E6/Forecasting!$E$17</f>
        <v>7.9871080294805941E-2</v>
      </c>
      <c r="D5" s="74">
        <f>SUM($C$3:C5)</f>
        <v>0.24117873385876312</v>
      </c>
      <c r="F5" s="72" t="s">
        <v>10</v>
      </c>
      <c r="G5" s="74">
        <f t="shared" si="0"/>
        <v>7.9899999999999999E-2</v>
      </c>
      <c r="H5" s="74">
        <f>SUM($G$3:G5)</f>
        <v>0.2412</v>
      </c>
      <c r="J5" s="72" t="s">
        <v>10</v>
      </c>
      <c r="K5" s="74">
        <f t="shared" si="1"/>
        <v>7.9899999999999999E-2</v>
      </c>
      <c r="L5" s="74">
        <f>SUM($K$3:K5)</f>
        <v>0.2412</v>
      </c>
    </row>
    <row r="6" spans="2:15" ht="14.5" x14ac:dyDescent="0.35">
      <c r="B6" s="72" t="s">
        <v>11</v>
      </c>
      <c r="C6" s="74">
        <f>Forecasting!E7/Forecasting!$E$17</f>
        <v>8.469273368196073E-2</v>
      </c>
      <c r="D6" s="74">
        <f>SUM($C$3:C6)</f>
        <v>0.32587146754072382</v>
      </c>
      <c r="F6" s="72" t="s">
        <v>11</v>
      </c>
      <c r="G6" s="74">
        <f t="shared" si="0"/>
        <v>8.4699999999999998E-2</v>
      </c>
      <c r="H6" s="74">
        <f>SUM($G$3:G6)</f>
        <v>0.32589999999999997</v>
      </c>
      <c r="J6" s="72" t="s">
        <v>11</v>
      </c>
      <c r="K6" s="74">
        <f t="shared" si="1"/>
        <v>8.4699999999999998E-2</v>
      </c>
      <c r="L6" s="74">
        <f>SUM($K$3:K6)</f>
        <v>0.32589999999999997</v>
      </c>
    </row>
    <row r="7" spans="2:15" ht="14.5" x14ac:dyDescent="0.35">
      <c r="B7" s="72" t="s">
        <v>12</v>
      </c>
      <c r="C7" s="74">
        <f>Forecasting!E8/Forecasting!$E$17</f>
        <v>7.863562609079143E-2</v>
      </c>
      <c r="D7" s="74">
        <f>SUM($C$3:C7)</f>
        <v>0.40450709363151527</v>
      </c>
      <c r="F7" s="72" t="s">
        <v>12</v>
      </c>
      <c r="G7" s="74">
        <f t="shared" si="0"/>
        <v>7.8600000000000003E-2</v>
      </c>
      <c r="H7" s="74">
        <f>SUM($G$3:G7)</f>
        <v>0.40449999999999997</v>
      </c>
      <c r="J7" s="72" t="s">
        <v>12</v>
      </c>
      <c r="K7" s="74">
        <f t="shared" si="1"/>
        <v>7.8600000000000003E-2</v>
      </c>
      <c r="L7" s="74">
        <f>SUM($K$3:K7)</f>
        <v>0.40449999999999997</v>
      </c>
    </row>
    <row r="8" spans="2:15" ht="14.5" x14ac:dyDescent="0.35">
      <c r="B8" s="72" t="s">
        <v>13</v>
      </c>
      <c r="C8" s="74">
        <f>Forecasting!E9/Forecasting!$E$17</f>
        <v>8.5410986756099483E-2</v>
      </c>
      <c r="D8" s="74">
        <f>SUM($C$3:C8)</f>
        <v>0.48991808038761475</v>
      </c>
      <c r="F8" s="72" t="s">
        <v>13</v>
      </c>
      <c r="G8" s="74">
        <f t="shared" si="0"/>
        <v>8.5400000000000004E-2</v>
      </c>
      <c r="H8" s="74">
        <f>SUM($G$3:G8)</f>
        <v>0.4899</v>
      </c>
      <c r="J8" s="72" t="s">
        <v>13</v>
      </c>
      <c r="K8" s="74">
        <f t="shared" si="1"/>
        <v>8.5400000000000004E-2</v>
      </c>
      <c r="L8" s="74">
        <f>SUM($K$3:K8)</f>
        <v>0.4899</v>
      </c>
    </row>
    <row r="9" spans="2:15" ht="14.5" x14ac:dyDescent="0.35">
      <c r="B9" s="72" t="s">
        <v>14</v>
      </c>
      <c r="C9" s="74">
        <f>Forecasting!E10/Forecasting!$E$17</f>
        <v>8.9615168793398953E-2</v>
      </c>
      <c r="D9" s="74">
        <f>SUM($C$3:C9)</f>
        <v>0.57953324918101368</v>
      </c>
      <c r="F9" s="72" t="s">
        <v>14</v>
      </c>
      <c r="G9" s="74">
        <f t="shared" si="0"/>
        <v>8.9599999999999999E-2</v>
      </c>
      <c r="H9" s="74">
        <f>SUM($G$3:G9)</f>
        <v>0.57950000000000002</v>
      </c>
      <c r="J9" s="72" t="s">
        <v>14</v>
      </c>
      <c r="K9" s="74">
        <f t="shared" si="1"/>
        <v>8.9599999999999999E-2</v>
      </c>
      <c r="L9" s="74">
        <f>SUM($K$3:K9)</f>
        <v>0.57950000000000002</v>
      </c>
    </row>
    <row r="10" spans="2:15" ht="14.5" x14ac:dyDescent="0.35">
      <c r="B10" s="72" t="s">
        <v>15</v>
      </c>
      <c r="C10" s="74">
        <f>Forecasting!E11/Forecasting!$E$17</f>
        <v>8.1649777090515865E-2</v>
      </c>
      <c r="D10" s="74">
        <f>SUM($C$3:C10)</f>
        <v>0.66118302627152958</v>
      </c>
      <c r="F10" s="72" t="s">
        <v>15</v>
      </c>
      <c r="G10" s="74">
        <f t="shared" si="0"/>
        <v>8.1600000000000006E-2</v>
      </c>
      <c r="H10" s="74">
        <f>SUM($G$3:G10)</f>
        <v>0.66110000000000002</v>
      </c>
      <c r="J10" s="72" t="s">
        <v>15</v>
      </c>
      <c r="K10" s="74">
        <f t="shared" si="1"/>
        <v>8.1600000000000006E-2</v>
      </c>
      <c r="L10" s="74">
        <f>SUM($K$3:K10)</f>
        <v>0.66110000000000002</v>
      </c>
    </row>
    <row r="11" spans="2:15" ht="14.5" x14ac:dyDescent="0.35">
      <c r="B11" s="72" t="s">
        <v>16</v>
      </c>
      <c r="C11" s="74">
        <f>Forecasting!E12/Forecasting!$E$17</f>
        <v>8.9713220971094729E-2</v>
      </c>
      <c r="D11" s="74">
        <f>SUM($C$3:C11)</f>
        <v>0.75089624724262427</v>
      </c>
      <c r="F11" s="72" t="s">
        <v>16</v>
      </c>
      <c r="G11" s="74">
        <f t="shared" si="0"/>
        <v>8.9700000000000002E-2</v>
      </c>
      <c r="H11" s="74">
        <f>SUM($G$3:G11)</f>
        <v>0.75080000000000002</v>
      </c>
      <c r="J11" s="72" t="s">
        <v>16</v>
      </c>
      <c r="K11" s="153">
        <f>ROUND(C11,4)+0.01%</f>
        <v>8.9800000000000005E-2</v>
      </c>
      <c r="L11" s="74">
        <f>SUM($K$3:K11)</f>
        <v>0.75090000000000001</v>
      </c>
      <c r="O11" s="157"/>
    </row>
    <row r="12" spans="2:15" ht="14.5" x14ac:dyDescent="0.35">
      <c r="B12" s="72" t="s">
        <v>17</v>
      </c>
      <c r="C12" s="74">
        <f>Forecasting!E13/Forecasting!$E$17</f>
        <v>8.7411479145889218E-2</v>
      </c>
      <c r="D12" s="74">
        <f>SUM($C$3:C12)</f>
        <v>0.83830772638851347</v>
      </c>
      <c r="F12" s="72" t="s">
        <v>17</v>
      </c>
      <c r="G12" s="74">
        <f t="shared" si="0"/>
        <v>8.7400000000000005E-2</v>
      </c>
      <c r="H12" s="74">
        <f>SUM($G$3:G12)</f>
        <v>0.83820000000000006</v>
      </c>
      <c r="J12" s="72" t="s">
        <v>17</v>
      </c>
      <c r="K12" s="74">
        <f t="shared" si="1"/>
        <v>8.7400000000000005E-2</v>
      </c>
      <c r="L12" s="74">
        <f>SUM($K$3:K12)</f>
        <v>0.83830000000000005</v>
      </c>
    </row>
    <row r="13" spans="2:15" ht="14.5" x14ac:dyDescent="0.35">
      <c r="B13" s="72" t="s">
        <v>18</v>
      </c>
      <c r="C13" s="74">
        <f>Forecasting!E14/Forecasting!$E$17</f>
        <v>7.7295421149521856E-2</v>
      </c>
      <c r="D13" s="74">
        <f>SUM($C$3:C13)</f>
        <v>0.91560314753803529</v>
      </c>
      <c r="F13" s="72" t="s">
        <v>18</v>
      </c>
      <c r="G13" s="74">
        <f t="shared" si="0"/>
        <v>7.7299999999999994E-2</v>
      </c>
      <c r="H13" s="74">
        <f>SUM($G$3:G13)</f>
        <v>0.91550000000000009</v>
      </c>
      <c r="J13" s="72" t="s">
        <v>18</v>
      </c>
      <c r="K13" s="74">
        <f t="shared" si="1"/>
        <v>7.7299999999999994E-2</v>
      </c>
      <c r="L13" s="74">
        <f>SUM($K$3:K13)</f>
        <v>0.91560000000000008</v>
      </c>
    </row>
    <row r="14" spans="2:15" ht="14.5" x14ac:dyDescent="0.35">
      <c r="B14" s="72" t="s">
        <v>19</v>
      </c>
      <c r="C14" s="74">
        <f>Forecasting!E15/Forecasting!$E$17</f>
        <v>8.4396852461964503E-2</v>
      </c>
      <c r="D14" s="74">
        <f>SUM($C$3:C14)</f>
        <v>0.99999999999999978</v>
      </c>
      <c r="F14" s="72" t="s">
        <v>19</v>
      </c>
      <c r="G14" s="74">
        <f t="shared" si="0"/>
        <v>8.4400000000000003E-2</v>
      </c>
      <c r="H14" s="74">
        <f>SUM($G$3:G14)</f>
        <v>0.99990000000000012</v>
      </c>
      <c r="J14" s="72" t="s">
        <v>19</v>
      </c>
      <c r="K14" s="74">
        <f t="shared" si="1"/>
        <v>8.4400000000000003E-2</v>
      </c>
      <c r="L14" s="74">
        <f>SUM($K$3:K14)</f>
        <v>1</v>
      </c>
    </row>
    <row r="16" spans="2:15" x14ac:dyDescent="0.25">
      <c r="K16" s="157"/>
    </row>
    <row r="19" spans="2:10" x14ac:dyDescent="0.25">
      <c r="B19" s="33" t="s">
        <v>20</v>
      </c>
    </row>
    <row r="20" spans="2:10" ht="72.5" x14ac:dyDescent="0.35">
      <c r="B20" s="72" t="str">
        <f>Data!G23</f>
        <v>2025/26</v>
      </c>
      <c r="C20" s="70" t="s">
        <v>21</v>
      </c>
      <c r="D20" s="70" t="s">
        <v>6</v>
      </c>
      <c r="E20" s="70" t="s">
        <v>22</v>
      </c>
      <c r="F20" s="75" t="s">
        <v>7</v>
      </c>
    </row>
    <row r="21" spans="2:10" ht="14.5" x14ac:dyDescent="0.35">
      <c r="B21" s="72" t="s">
        <v>8</v>
      </c>
      <c r="C21" s="68">
        <f>Forecasting!D4/Forecasting!$D$17</f>
        <v>7.9031046780337608E-2</v>
      </c>
      <c r="D21" s="76">
        <f t="shared" ref="D21:D32" si="2">C3</f>
        <v>7.9031046780337608E-2</v>
      </c>
      <c r="E21" s="68">
        <f>SUM($C$21:C21)</f>
        <v>7.9031046780337608E-2</v>
      </c>
      <c r="F21" s="74">
        <f>D3</f>
        <v>7.9031046780337608E-2</v>
      </c>
    </row>
    <row r="22" spans="2:10" ht="14.5" x14ac:dyDescent="0.35">
      <c r="B22" s="72" t="s">
        <v>9</v>
      </c>
      <c r="C22" s="68">
        <f>Forecasting!D5/Forecasting!$D$17</f>
        <v>8.2276606783619574E-2</v>
      </c>
      <c r="D22" s="76">
        <f t="shared" si="2"/>
        <v>8.2276606783619574E-2</v>
      </c>
      <c r="E22" s="68">
        <f>SUM($C$21:C22)</f>
        <v>0.16130765356395718</v>
      </c>
      <c r="F22" s="74">
        <f t="shared" ref="F22:F32" si="3">D4</f>
        <v>0.16130765356395718</v>
      </c>
    </row>
    <row r="23" spans="2:10" ht="14.5" x14ac:dyDescent="0.35">
      <c r="B23" s="72" t="s">
        <v>10</v>
      </c>
      <c r="C23" s="68">
        <f>Forecasting!D6/Forecasting!$D$17</f>
        <v>7.9871080294805941E-2</v>
      </c>
      <c r="D23" s="76">
        <f t="shared" si="2"/>
        <v>7.9871080294805941E-2</v>
      </c>
      <c r="E23" s="68">
        <f>SUM($C$21:C23)</f>
        <v>0.24117873385876312</v>
      </c>
      <c r="F23" s="74">
        <f t="shared" si="3"/>
        <v>0.24117873385876312</v>
      </c>
    </row>
    <row r="24" spans="2:10" ht="14.5" x14ac:dyDescent="0.35">
      <c r="B24" s="72" t="s">
        <v>11</v>
      </c>
      <c r="C24" s="68">
        <f>Forecasting!D7/Forecasting!$D$17</f>
        <v>8.469273368196073E-2</v>
      </c>
      <c r="D24" s="76">
        <f t="shared" si="2"/>
        <v>8.469273368196073E-2</v>
      </c>
      <c r="E24" s="68">
        <f>SUM($C$21:C24)</f>
        <v>0.32587146754072382</v>
      </c>
      <c r="F24" s="74">
        <f t="shared" si="3"/>
        <v>0.32587146754072382</v>
      </c>
    </row>
    <row r="25" spans="2:10" ht="14.5" x14ac:dyDescent="0.35">
      <c r="B25" s="72" t="s">
        <v>12</v>
      </c>
      <c r="C25" s="68">
        <f>Forecasting!D8/Forecasting!$D$17</f>
        <v>7.863562609079143E-2</v>
      </c>
      <c r="D25" s="76">
        <f t="shared" si="2"/>
        <v>7.863562609079143E-2</v>
      </c>
      <c r="E25" s="68">
        <f>SUM($C$21:C25)</f>
        <v>0.40450709363151527</v>
      </c>
      <c r="F25" s="74">
        <f t="shared" si="3"/>
        <v>0.40450709363151527</v>
      </c>
    </row>
    <row r="26" spans="2:10" ht="14.5" x14ac:dyDescent="0.35">
      <c r="B26" s="72" t="s">
        <v>13</v>
      </c>
      <c r="C26" s="68">
        <f>Forecasting!D9/Forecasting!$D$17</f>
        <v>8.5410986756099483E-2</v>
      </c>
      <c r="D26" s="76">
        <f t="shared" si="2"/>
        <v>8.5410986756099483E-2</v>
      </c>
      <c r="E26" s="68">
        <f>SUM($C$21:C26)</f>
        <v>0.48991808038761475</v>
      </c>
      <c r="F26" s="74">
        <f t="shared" si="3"/>
        <v>0.48991808038761475</v>
      </c>
      <c r="J26" s="71"/>
    </row>
    <row r="27" spans="2:10" ht="14.5" x14ac:dyDescent="0.35">
      <c r="B27" s="72" t="s">
        <v>14</v>
      </c>
      <c r="C27" s="68">
        <f>Forecasting!D10/Forecasting!$D$17</f>
        <v>8.9615168793398953E-2</v>
      </c>
      <c r="D27" s="76">
        <f t="shared" si="2"/>
        <v>8.9615168793398953E-2</v>
      </c>
      <c r="E27" s="68">
        <f>SUM($C$21:C27)</f>
        <v>0.57953324918101368</v>
      </c>
      <c r="F27" s="74">
        <f t="shared" si="3"/>
        <v>0.57953324918101368</v>
      </c>
    </row>
    <row r="28" spans="2:10" ht="14.5" x14ac:dyDescent="0.35">
      <c r="B28" s="72" t="s">
        <v>15</v>
      </c>
      <c r="C28" s="68">
        <f>Forecasting!D11/Forecasting!$D$17</f>
        <v>8.1649777090515865E-2</v>
      </c>
      <c r="D28" s="76">
        <f t="shared" si="2"/>
        <v>8.1649777090515865E-2</v>
      </c>
      <c r="E28" s="68">
        <f>SUM($C$21:C28)</f>
        <v>0.66118302627152958</v>
      </c>
      <c r="F28" s="74">
        <f t="shared" si="3"/>
        <v>0.66118302627152958</v>
      </c>
    </row>
    <row r="29" spans="2:10" ht="14.5" x14ac:dyDescent="0.35">
      <c r="B29" s="72" t="s">
        <v>16</v>
      </c>
      <c r="C29" s="68">
        <f>Forecasting!D12/Forecasting!$D$17</f>
        <v>8.9713220971094729E-2</v>
      </c>
      <c r="D29" s="76">
        <f t="shared" si="2"/>
        <v>8.9713220971094729E-2</v>
      </c>
      <c r="E29" s="68">
        <f>SUM($C$21:C29)</f>
        <v>0.75089624724262427</v>
      </c>
      <c r="F29" s="74">
        <f t="shared" si="3"/>
        <v>0.75089624724262427</v>
      </c>
    </row>
    <row r="30" spans="2:10" ht="14.5" x14ac:dyDescent="0.35">
      <c r="B30" s="72" t="s">
        <v>17</v>
      </c>
      <c r="C30" s="68">
        <f>Forecasting!D13/Forecasting!$D$17</f>
        <v>8.7411479145889218E-2</v>
      </c>
      <c r="D30" s="76">
        <f t="shared" si="2"/>
        <v>8.7411479145889218E-2</v>
      </c>
      <c r="E30" s="68">
        <f>SUM($C$21:C30)</f>
        <v>0.83830772638851347</v>
      </c>
      <c r="F30" s="74">
        <f t="shared" si="3"/>
        <v>0.83830772638851347</v>
      </c>
    </row>
    <row r="31" spans="2:10" ht="14.5" x14ac:dyDescent="0.35">
      <c r="B31" s="72" t="s">
        <v>18</v>
      </c>
      <c r="C31" s="68">
        <f>Forecasting!D14/Forecasting!$D$17</f>
        <v>7.7295421149521856E-2</v>
      </c>
      <c r="D31" s="76">
        <f t="shared" si="2"/>
        <v>7.7295421149521856E-2</v>
      </c>
      <c r="E31" s="68">
        <f>SUM($C$21:C31)</f>
        <v>0.91560314753803529</v>
      </c>
      <c r="F31" s="74">
        <f t="shared" si="3"/>
        <v>0.91560314753803529</v>
      </c>
    </row>
    <row r="32" spans="2:10" ht="14.5" x14ac:dyDescent="0.35">
      <c r="B32" s="72" t="s">
        <v>19</v>
      </c>
      <c r="C32" s="68">
        <f>Forecasting!D15/Forecasting!$D$17</f>
        <v>8.4396852461964503E-2</v>
      </c>
      <c r="D32" s="76">
        <f t="shared" si="2"/>
        <v>8.4396852461964503E-2</v>
      </c>
      <c r="E32" s="68">
        <f>SUM($C$21:C32)</f>
        <v>0.99999999999999978</v>
      </c>
      <c r="F32" s="74">
        <f t="shared" si="3"/>
        <v>0.99999999999999978</v>
      </c>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16F94-CC3E-4A8B-8C65-3EF831CABAD5}">
  <dimension ref="B2:F17"/>
  <sheetViews>
    <sheetView showGridLines="0" workbookViewId="0">
      <selection activeCell="G10" sqref="G10"/>
    </sheetView>
  </sheetViews>
  <sheetFormatPr defaultRowHeight="12.5" x14ac:dyDescent="0.25"/>
  <cols>
    <col min="2" max="2" width="12.453125" customWidth="1"/>
    <col min="3" max="4" width="16.54296875" customWidth="1"/>
    <col min="5" max="5" width="16.81640625" bestFit="1" customWidth="1"/>
    <col min="6" max="6" width="14.81640625" bestFit="1" customWidth="1"/>
    <col min="7" max="7" width="10.81640625" bestFit="1" customWidth="1"/>
  </cols>
  <sheetData>
    <row r="2" spans="2:6" ht="13" thickBot="1" x14ac:dyDescent="0.3">
      <c r="B2" s="33" t="s">
        <v>23</v>
      </c>
    </row>
    <row r="3" spans="2:6" ht="13.5" thickBot="1" x14ac:dyDescent="0.35">
      <c r="B3" s="58" t="str">
        <f>Data!G6</f>
        <v>2025/26</v>
      </c>
      <c r="C3" s="66" t="s">
        <v>24</v>
      </c>
      <c r="D3" s="67" t="s">
        <v>25</v>
      </c>
      <c r="E3" s="69" t="s">
        <v>26</v>
      </c>
    </row>
    <row r="4" spans="2:6" ht="13" x14ac:dyDescent="0.3">
      <c r="B4" s="59" t="s">
        <v>8</v>
      </c>
      <c r="C4" s="60">
        <f>Data!G7</f>
        <v>0</v>
      </c>
      <c r="D4" s="60">
        <f>((CalculateAverages!H4*CalculateAverages!D64)-Data!G24)*(1+'Uplift Average to Latest Year'!$D$10)^3</f>
        <v>855877366.7219007</v>
      </c>
      <c r="E4" s="103">
        <f>IF(C4&lt;&gt;0,C4,D4)</f>
        <v>855877366.7219007</v>
      </c>
    </row>
    <row r="5" spans="2:6" ht="13" x14ac:dyDescent="0.3">
      <c r="B5" s="61" t="s">
        <v>9</v>
      </c>
      <c r="C5" s="62">
        <f>Data!G8</f>
        <v>0</v>
      </c>
      <c r="D5" s="62">
        <f>((CalculateAverages!H5*CalculateAverages!D65)-Data!G25)*(1+'Uplift Average to Latest Year'!$D$10)^3</f>
        <v>891025595.95980561</v>
      </c>
      <c r="E5" s="103">
        <f t="shared" ref="E5:E15" si="0">IF(C5&lt;&gt;0,C5,D5)</f>
        <v>891025595.95980561</v>
      </c>
      <c r="F5" s="2"/>
    </row>
    <row r="6" spans="2:6" ht="13" x14ac:dyDescent="0.3">
      <c r="B6" s="61" t="s">
        <v>10</v>
      </c>
      <c r="C6" s="62">
        <f>Data!G9</f>
        <v>0</v>
      </c>
      <c r="D6" s="62">
        <f>((CalculateAverages!H6*CalculateAverages!D66)-Data!G26)*(1+'Uplift Average to Latest Year'!$D$10)^3</f>
        <v>864974622.82075548</v>
      </c>
      <c r="E6" s="103">
        <f t="shared" si="0"/>
        <v>864974622.82075548</v>
      </c>
      <c r="F6" s="2"/>
    </row>
    <row r="7" spans="2:6" ht="13" x14ac:dyDescent="0.3">
      <c r="B7" s="61" t="s">
        <v>11</v>
      </c>
      <c r="C7" s="62">
        <f>Data!G10</f>
        <v>0</v>
      </c>
      <c r="D7" s="62">
        <f>((CalculateAverages!H7*CalculateAverages!D67)-Data!G27)*(1+'Uplift Average to Latest Year'!$D$10)^3</f>
        <v>917191367.66172695</v>
      </c>
      <c r="E7" s="103">
        <f t="shared" si="0"/>
        <v>917191367.66172695</v>
      </c>
      <c r="F7" s="2"/>
    </row>
    <row r="8" spans="2:6" ht="13" x14ac:dyDescent="0.3">
      <c r="B8" s="61" t="s">
        <v>12</v>
      </c>
      <c r="C8" s="62">
        <f>Data!G11</f>
        <v>0</v>
      </c>
      <c r="D8" s="62">
        <f>((CalculateAverages!H8*CalculateAverages!D68)-Data!G28)*(1+'Uplift Average to Latest Year'!$D$10)^3</f>
        <v>851595105.10063195</v>
      </c>
      <c r="E8" s="103">
        <f t="shared" si="0"/>
        <v>851595105.10063195</v>
      </c>
      <c r="F8" s="2"/>
    </row>
    <row r="9" spans="2:6" ht="13" x14ac:dyDescent="0.3">
      <c r="B9" s="61" t="s">
        <v>13</v>
      </c>
      <c r="C9" s="62">
        <f>Data!G12</f>
        <v>0</v>
      </c>
      <c r="D9" s="62">
        <f>((CalculateAverages!H9*CalculateAverages!D69)-Data!G29)*(1+'Uplift Average to Latest Year'!$D$10)^3</f>
        <v>924969786.07800353</v>
      </c>
      <c r="E9" s="103">
        <f t="shared" si="0"/>
        <v>924969786.07800353</v>
      </c>
      <c r="F9" s="2"/>
    </row>
    <row r="10" spans="2:6" ht="13" x14ac:dyDescent="0.3">
      <c r="B10" s="61" t="s">
        <v>14</v>
      </c>
      <c r="C10" s="62">
        <f>Data!G13</f>
        <v>0</v>
      </c>
      <c r="D10" s="62">
        <f>((CalculateAverages!H10*CalculateAverages!D70)-Data!G30)*(1+'Uplift Average to Latest Year'!$D$10)^3</f>
        <v>970499541.76129293</v>
      </c>
      <c r="E10" s="103">
        <f t="shared" si="0"/>
        <v>970499541.76129293</v>
      </c>
      <c r="F10" s="2"/>
    </row>
    <row r="11" spans="2:6" ht="13" x14ac:dyDescent="0.3">
      <c r="B11" s="61" t="s">
        <v>15</v>
      </c>
      <c r="C11" s="62">
        <f>Data!G14</f>
        <v>0</v>
      </c>
      <c r="D11" s="62">
        <f>((CalculateAverages!H11*CalculateAverages!D71)-Data!G31)*(1+'Uplift Average to Latest Year'!$D$10)^3</f>
        <v>884237259.3633306</v>
      </c>
      <c r="E11" s="103">
        <f t="shared" si="0"/>
        <v>884237259.3633306</v>
      </c>
      <c r="F11" s="2"/>
    </row>
    <row r="12" spans="2:6" ht="13" x14ac:dyDescent="0.3">
      <c r="B12" s="61" t="s">
        <v>16</v>
      </c>
      <c r="C12" s="62">
        <f>Data!G15</f>
        <v>0</v>
      </c>
      <c r="D12" s="62">
        <f>((CalculateAverages!H12*CalculateAverages!D72)-Data!G32)*(1+'Uplift Average to Latest Year'!$D$10)^3</f>
        <v>971561411.02744162</v>
      </c>
      <c r="E12" s="103">
        <f t="shared" si="0"/>
        <v>971561411.02744162</v>
      </c>
      <c r="F12" s="55"/>
    </row>
    <row r="13" spans="2:6" ht="13" x14ac:dyDescent="0.3">
      <c r="B13" s="61" t="s">
        <v>17</v>
      </c>
      <c r="C13" s="62">
        <f>Data!G16</f>
        <v>0</v>
      </c>
      <c r="D13" s="62">
        <f>((CalculateAverages!H13*CalculateAverages!D73)-Data!G33)*(1+'Uplift Average to Latest Year'!$D$10)^3</f>
        <v>946634387.88290346</v>
      </c>
      <c r="E13" s="103">
        <f t="shared" si="0"/>
        <v>946634387.88290346</v>
      </c>
      <c r="F13" s="55"/>
    </row>
    <row r="14" spans="2:6" ht="13" x14ac:dyDescent="0.3">
      <c r="B14" s="61" t="s">
        <v>18</v>
      </c>
      <c r="C14" s="62">
        <f>Data!G17</f>
        <v>0</v>
      </c>
      <c r="D14" s="62">
        <f>((CalculateAverages!H14*CalculateAverages!D74)-Data!G34)*(1+'Uplift Average to Latest Year'!$D$10)^3</f>
        <v>837081175.16130507</v>
      </c>
      <c r="E14" s="103">
        <f t="shared" si="0"/>
        <v>837081175.16130507</v>
      </c>
      <c r="F14" s="55"/>
    </row>
    <row r="15" spans="2:6" ht="13" x14ac:dyDescent="0.3">
      <c r="B15" s="61" t="s">
        <v>19</v>
      </c>
      <c r="C15" s="62">
        <f>Data!G18</f>
        <v>0</v>
      </c>
      <c r="D15" s="62">
        <f>((CalculateAverages!H15*CalculateAverages!D75)-Data!G35)*(1+'Uplift Average to Latest Year'!$D$10)^3</f>
        <v>913987082.13408244</v>
      </c>
      <c r="E15" s="103">
        <f t="shared" si="0"/>
        <v>913987082.13408244</v>
      </c>
      <c r="F15" s="55"/>
    </row>
    <row r="16" spans="2:6" ht="13" x14ac:dyDescent="0.3">
      <c r="B16" s="61"/>
      <c r="C16" s="63"/>
      <c r="D16" s="63"/>
      <c r="E16" s="104"/>
      <c r="F16" s="55"/>
    </row>
    <row r="17" spans="2:5" ht="13.5" thickBot="1" x14ac:dyDescent="0.35">
      <c r="B17" s="64" t="s">
        <v>27</v>
      </c>
      <c r="C17" s="65"/>
      <c r="D17" s="149">
        <f>SUM(D4:D15)</f>
        <v>10829634701.673182</v>
      </c>
      <c r="E17" s="105">
        <f>SUM(E4:E15)</f>
        <v>10829634701.673182</v>
      </c>
    </row>
  </sheetData>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77954-6738-4901-AD09-643EC315EC29}">
  <sheetPr>
    <tabColor rgb="FF7030A0"/>
  </sheetPr>
  <dimension ref="A1"/>
  <sheetViews>
    <sheetView showGridLines="0" workbookViewId="0">
      <selection activeCell="G28" sqref="G28"/>
    </sheetView>
  </sheetViews>
  <sheetFormatPr defaultRowHeight="12.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0E0C2-D34B-4FB8-B357-750FC63CC098}">
  <dimension ref="A1:D12"/>
  <sheetViews>
    <sheetView workbookViewId="0">
      <selection activeCell="E15" sqref="E15"/>
    </sheetView>
  </sheetViews>
  <sheetFormatPr defaultRowHeight="12.5" x14ac:dyDescent="0.25"/>
  <cols>
    <col min="2" max="2" width="19.81640625" bestFit="1" customWidth="1"/>
    <col min="3" max="3" width="13.81640625" bestFit="1" customWidth="1"/>
  </cols>
  <sheetData>
    <row r="1" spans="1:4" x14ac:dyDescent="0.25">
      <c r="A1" s="33" t="s">
        <v>139</v>
      </c>
    </row>
    <row r="2" spans="1:4" x14ac:dyDescent="0.25">
      <c r="B2" s="33"/>
    </row>
    <row r="3" spans="1:4" ht="37.5" x14ac:dyDescent="0.25">
      <c r="B3" s="143"/>
      <c r="C3" s="145" t="s">
        <v>128</v>
      </c>
      <c r="D3" s="144" t="s">
        <v>127</v>
      </c>
    </row>
    <row r="4" spans="1:4" x14ac:dyDescent="0.25">
      <c r="B4" s="136" t="str">
        <f>Data!B6</f>
        <v>2020/21</v>
      </c>
      <c r="C4" s="147">
        <f>AVERAGE(CalculateAverages!E4:E15)</f>
        <v>29022407.472422052</v>
      </c>
      <c r="D4" s="140"/>
    </row>
    <row r="5" spans="1:4" x14ac:dyDescent="0.25">
      <c r="B5" s="136" t="str">
        <f>Data!C6</f>
        <v>2021/22</v>
      </c>
      <c r="C5" s="147">
        <f>AVERAGE(CalculateAverages!E16:E27)</f>
        <v>29911918.53715891</v>
      </c>
      <c r="D5" s="141">
        <f>C5/C4-1</f>
        <v>3.0649113640282888E-2</v>
      </c>
    </row>
    <row r="6" spans="1:4" x14ac:dyDescent="0.25">
      <c r="B6" s="136" t="str">
        <f>Data!D6</f>
        <v>2022/23</v>
      </c>
      <c r="C6" s="147">
        <f>AVERAGE(CalculateAverages!E28:E39)</f>
        <v>32948302.463065054</v>
      </c>
      <c r="D6" s="141">
        <f>C6/C5-1</f>
        <v>0.10151083830126484</v>
      </c>
    </row>
    <row r="7" spans="1:4" x14ac:dyDescent="0.25">
      <c r="B7" s="136" t="str">
        <f>Data!E6</f>
        <v>2023/24</v>
      </c>
      <c r="C7" s="147">
        <f>AVERAGE(CalculateAverages!E40:E51)</f>
        <v>34944061.888822928</v>
      </c>
      <c r="D7" s="141">
        <f>C7/C6-1</f>
        <v>6.0572450674662548E-2</v>
      </c>
    </row>
    <row r="8" spans="1:4" x14ac:dyDescent="0.25">
      <c r="B8" s="138" t="str">
        <f>Data!F6</f>
        <v>2024/25</v>
      </c>
      <c r="C8" s="148">
        <f>AVERAGE(CalculateAverages!E52:E63)</f>
        <v>35641375.574459881</v>
      </c>
      <c r="D8" s="142">
        <f>C8/C7-1</f>
        <v>1.995514110109764E-2</v>
      </c>
    </row>
    <row r="9" spans="1:4" x14ac:dyDescent="0.25">
      <c r="C9" s="55"/>
    </row>
    <row r="10" spans="1:4" ht="13" x14ac:dyDescent="0.3">
      <c r="B10" s="33" t="s">
        <v>138</v>
      </c>
      <c r="C10" s="55">
        <f>AVERAGE(C4:C8)</f>
        <v>32493613.187185764</v>
      </c>
      <c r="D10" s="146">
        <f>AVERAGE(D5:D8)</f>
        <v>5.3171885929326979E-2</v>
      </c>
    </row>
    <row r="12" spans="1:4" x14ac:dyDescent="0.25">
      <c r="C12" s="5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590C7-F984-4FCC-B3FB-ED2280955AC6}">
  <sheetPr>
    <pageSetUpPr fitToPage="1"/>
  </sheetPr>
  <dimension ref="A1:M67"/>
  <sheetViews>
    <sheetView topLeftCell="A38" zoomScale="111" zoomScaleNormal="70" workbookViewId="0">
      <selection activeCell="F56" sqref="F56"/>
    </sheetView>
  </sheetViews>
  <sheetFormatPr defaultColWidth="9.1796875" defaultRowHeight="12.5" x14ac:dyDescent="0.25"/>
  <cols>
    <col min="1" max="1" width="9.1796875" style="17"/>
    <col min="2" max="2" width="8.1796875" style="17" customWidth="1"/>
    <col min="3" max="3" width="16" style="17" customWidth="1"/>
    <col min="4" max="4" width="9.81640625" style="17" customWidth="1"/>
    <col min="5" max="5" width="24.1796875" style="17" bestFit="1" customWidth="1"/>
    <col min="6" max="6" width="14.54296875" style="17" customWidth="1"/>
    <col min="7" max="9" width="9.1796875" style="17"/>
    <col min="10" max="10" width="43.7265625" style="17" customWidth="1"/>
    <col min="11" max="11" width="12.1796875" style="17" bestFit="1" customWidth="1"/>
    <col min="12" max="16384" width="9.1796875" style="17"/>
  </cols>
  <sheetData>
    <row r="1" spans="1:6" ht="13" x14ac:dyDescent="0.3">
      <c r="A1" s="18" t="s">
        <v>45</v>
      </c>
    </row>
    <row r="4" spans="1:6" ht="13" x14ac:dyDescent="0.3">
      <c r="A4" s="77" t="s">
        <v>46</v>
      </c>
      <c r="B4" s="78" t="s">
        <v>47</v>
      </c>
      <c r="C4" s="78" t="s">
        <v>48</v>
      </c>
      <c r="D4" s="78" t="s">
        <v>49</v>
      </c>
      <c r="E4" s="17" t="s">
        <v>50</v>
      </c>
      <c r="F4" s="17" t="s">
        <v>123</v>
      </c>
    </row>
    <row r="5" spans="1:6" hidden="1" x14ac:dyDescent="0.25">
      <c r="A5" s="79">
        <v>37956</v>
      </c>
      <c r="B5" s="80" t="s">
        <v>51</v>
      </c>
      <c r="C5" s="81">
        <v>-150</v>
      </c>
      <c r="D5" s="82">
        <f>C5/12</f>
        <v>-12.5</v>
      </c>
      <c r="E5" s="2"/>
    </row>
    <row r="6" spans="1:6" hidden="1" x14ac:dyDescent="0.25">
      <c r="A6" s="79">
        <v>38261</v>
      </c>
      <c r="B6" s="83" t="s">
        <v>52</v>
      </c>
      <c r="C6" s="84">
        <v>-150</v>
      </c>
      <c r="D6" s="82">
        <f t="shared" ref="D6:D30" si="0">C6/12</f>
        <v>-12.5</v>
      </c>
      <c r="E6" s="2"/>
    </row>
    <row r="7" spans="1:6" hidden="1" x14ac:dyDescent="0.25">
      <c r="A7" s="79">
        <v>38384</v>
      </c>
      <c r="B7" s="83" t="s">
        <v>53</v>
      </c>
      <c r="C7" s="84">
        <f>-1800/5</f>
        <v>-360</v>
      </c>
      <c r="D7" s="82">
        <f t="shared" si="0"/>
        <v>-30</v>
      </c>
      <c r="E7" s="2"/>
    </row>
    <row r="8" spans="1:6" hidden="1" x14ac:dyDescent="0.25">
      <c r="A8" s="79">
        <v>38443</v>
      </c>
      <c r="B8" s="83" t="s">
        <v>54</v>
      </c>
      <c r="C8" s="84">
        <v>-300</v>
      </c>
      <c r="D8" s="82">
        <f t="shared" si="0"/>
        <v>-25</v>
      </c>
      <c r="E8" s="2"/>
    </row>
    <row r="9" spans="1:6" hidden="1" x14ac:dyDescent="0.25">
      <c r="A9" s="79">
        <v>38991</v>
      </c>
      <c r="B9" s="83" t="s">
        <v>55</v>
      </c>
      <c r="C9" s="84">
        <v>-300</v>
      </c>
      <c r="D9" s="82">
        <f t="shared" si="0"/>
        <v>-25</v>
      </c>
      <c r="E9" s="2"/>
    </row>
    <row r="10" spans="1:6" ht="13" hidden="1" x14ac:dyDescent="0.3">
      <c r="A10" s="79">
        <v>39264</v>
      </c>
      <c r="B10" s="85" t="s">
        <v>56</v>
      </c>
      <c r="C10" s="84">
        <v>-120</v>
      </c>
      <c r="D10" s="82">
        <f t="shared" si="0"/>
        <v>-10</v>
      </c>
      <c r="E10" s="2"/>
    </row>
    <row r="11" spans="1:6" hidden="1" x14ac:dyDescent="0.25">
      <c r="A11" s="79">
        <v>39356</v>
      </c>
      <c r="B11" s="83" t="s">
        <v>57</v>
      </c>
      <c r="C11" s="84">
        <v>-400</v>
      </c>
      <c r="D11" s="82">
        <f t="shared" si="0"/>
        <v>-33.333333333333336</v>
      </c>
      <c r="E11" s="2"/>
    </row>
    <row r="12" spans="1:6" hidden="1" x14ac:dyDescent="0.25">
      <c r="A12" s="79">
        <v>39722</v>
      </c>
      <c r="B12" s="83" t="s">
        <v>58</v>
      </c>
      <c r="C12" s="84">
        <v>-130</v>
      </c>
      <c r="D12" s="82">
        <f t="shared" si="0"/>
        <v>-10.833333333333334</v>
      </c>
      <c r="E12" s="2"/>
    </row>
    <row r="13" spans="1:6" hidden="1" x14ac:dyDescent="0.25">
      <c r="A13" s="79">
        <v>39873</v>
      </c>
      <c r="B13" s="83" t="s">
        <v>59</v>
      </c>
      <c r="C13" s="81">
        <v>-160</v>
      </c>
      <c r="D13" s="82">
        <f t="shared" si="0"/>
        <v>-13.333333333333334</v>
      </c>
      <c r="E13" s="2"/>
    </row>
    <row r="14" spans="1:6" hidden="1" x14ac:dyDescent="0.25">
      <c r="A14" s="79">
        <v>40087</v>
      </c>
      <c r="B14" s="83" t="s">
        <v>60</v>
      </c>
      <c r="C14" s="81">
        <v>-80</v>
      </c>
      <c r="D14" s="82">
        <f t="shared" si="0"/>
        <v>-6.666666666666667</v>
      </c>
      <c r="E14" s="2"/>
    </row>
    <row r="15" spans="1:6" hidden="1" x14ac:dyDescent="0.25">
      <c r="A15" s="79">
        <v>40210</v>
      </c>
      <c r="B15" s="83" t="s">
        <v>61</v>
      </c>
      <c r="C15" s="81">
        <v>-80</v>
      </c>
      <c r="D15" s="82">
        <f t="shared" si="0"/>
        <v>-6.666666666666667</v>
      </c>
      <c r="E15" s="2"/>
    </row>
    <row r="16" spans="1:6" hidden="1" x14ac:dyDescent="0.25">
      <c r="A16" s="79">
        <v>40452</v>
      </c>
      <c r="B16" s="83" t="s">
        <v>62</v>
      </c>
      <c r="C16" s="81">
        <v>-240</v>
      </c>
      <c r="D16" s="82">
        <f t="shared" si="0"/>
        <v>-20</v>
      </c>
      <c r="E16" s="2"/>
    </row>
    <row r="17" spans="1:11" hidden="1" x14ac:dyDescent="0.25">
      <c r="A17" s="41">
        <v>40544</v>
      </c>
      <c r="B17" s="83" t="s">
        <v>63</v>
      </c>
      <c r="C17" s="81">
        <v>5.7</v>
      </c>
      <c r="D17" s="82">
        <f t="shared" si="0"/>
        <v>0.47500000000000003</v>
      </c>
      <c r="E17" s="2"/>
    </row>
    <row r="18" spans="1:11" hidden="1" x14ac:dyDescent="0.25">
      <c r="A18" s="79">
        <v>40634</v>
      </c>
      <c r="B18" s="83" t="s">
        <v>64</v>
      </c>
      <c r="C18" s="81">
        <v>-90</v>
      </c>
      <c r="D18" s="82">
        <f t="shared" si="0"/>
        <v>-7.5</v>
      </c>
      <c r="E18" s="2"/>
    </row>
    <row r="19" spans="1:11" hidden="1" x14ac:dyDescent="0.25">
      <c r="A19" s="41">
        <v>40634</v>
      </c>
      <c r="B19" s="42" t="s">
        <v>65</v>
      </c>
      <c r="C19" s="43">
        <v>-150</v>
      </c>
      <c r="D19" s="82">
        <f t="shared" si="0"/>
        <v>-12.5</v>
      </c>
      <c r="E19" s="2"/>
    </row>
    <row r="20" spans="1:11" hidden="1" x14ac:dyDescent="0.25">
      <c r="A20" s="86">
        <v>40817</v>
      </c>
      <c r="B20" s="83" t="s">
        <v>66</v>
      </c>
      <c r="C20" s="81">
        <v>-156</v>
      </c>
      <c r="D20" s="82">
        <f t="shared" si="0"/>
        <v>-13</v>
      </c>
      <c r="E20" s="2"/>
    </row>
    <row r="21" spans="1:11" hidden="1" x14ac:dyDescent="0.25">
      <c r="A21" s="86">
        <v>40909</v>
      </c>
      <c r="B21" s="83" t="s">
        <v>67</v>
      </c>
      <c r="C21" s="81">
        <f>2*C17</f>
        <v>11.4</v>
      </c>
      <c r="D21" s="82">
        <f t="shared" si="0"/>
        <v>0.95000000000000007</v>
      </c>
      <c r="E21" s="2"/>
    </row>
    <row r="22" spans="1:11" hidden="1" x14ac:dyDescent="0.25">
      <c r="A22" s="86">
        <v>41000</v>
      </c>
      <c r="B22" s="83" t="s">
        <v>68</v>
      </c>
      <c r="C22" s="81">
        <v>-40</v>
      </c>
      <c r="D22" s="82">
        <f t="shared" si="0"/>
        <v>-3.3333333333333335</v>
      </c>
      <c r="E22" s="2"/>
    </row>
    <row r="23" spans="1:11" hidden="1" x14ac:dyDescent="0.25">
      <c r="A23" s="86">
        <v>41000</v>
      </c>
      <c r="B23" s="42" t="s">
        <v>65</v>
      </c>
      <c r="C23" s="43">
        <v>-100</v>
      </c>
      <c r="D23" s="82">
        <f t="shared" si="0"/>
        <v>-8.3333333333333339</v>
      </c>
      <c r="E23" s="2"/>
    </row>
    <row r="24" spans="1:11" hidden="1" x14ac:dyDescent="0.25">
      <c r="A24" s="86">
        <v>41061</v>
      </c>
      <c r="B24" s="83" t="s">
        <v>69</v>
      </c>
      <c r="C24" s="87">
        <v>-203</v>
      </c>
      <c r="D24" s="82">
        <f t="shared" si="0"/>
        <v>-16.916666666666668</v>
      </c>
      <c r="F24" s="23"/>
    </row>
    <row r="25" spans="1:11" hidden="1" x14ac:dyDescent="0.25">
      <c r="A25" s="86">
        <v>41183</v>
      </c>
      <c r="B25" s="83" t="s">
        <v>70</v>
      </c>
      <c r="C25" s="84">
        <v>-290</v>
      </c>
      <c r="D25" s="82">
        <f t="shared" si="0"/>
        <v>-24.166666666666668</v>
      </c>
    </row>
    <row r="26" spans="1:11" hidden="1" x14ac:dyDescent="0.25">
      <c r="A26" s="86">
        <v>41275</v>
      </c>
      <c r="B26" s="83" t="s">
        <v>67</v>
      </c>
      <c r="C26" s="84">
        <f>2*C17</f>
        <v>11.4</v>
      </c>
      <c r="D26" s="82">
        <f t="shared" si="0"/>
        <v>0.95000000000000007</v>
      </c>
    </row>
    <row r="27" spans="1:11" hidden="1" x14ac:dyDescent="0.25">
      <c r="A27" s="86">
        <v>41365</v>
      </c>
      <c r="B27" s="83" t="s">
        <v>71</v>
      </c>
      <c r="C27" s="84">
        <v>0</v>
      </c>
      <c r="D27" s="82">
        <v>0</v>
      </c>
    </row>
    <row r="28" spans="1:11" hidden="1" x14ac:dyDescent="0.25">
      <c r="A28" s="86">
        <v>41548</v>
      </c>
      <c r="B28" s="83" t="s">
        <v>72</v>
      </c>
      <c r="C28" s="84">
        <v>-80</v>
      </c>
      <c r="D28" s="82">
        <f t="shared" si="0"/>
        <v>-6.666666666666667</v>
      </c>
    </row>
    <row r="29" spans="1:11" hidden="1" x14ac:dyDescent="0.25">
      <c r="A29" s="86">
        <v>41730</v>
      </c>
      <c r="B29" s="83" t="s">
        <v>71</v>
      </c>
      <c r="C29" s="84">
        <v>-120</v>
      </c>
      <c r="D29" s="82">
        <f t="shared" si="0"/>
        <v>-10</v>
      </c>
    </row>
    <row r="30" spans="1:11" hidden="1" x14ac:dyDescent="0.25">
      <c r="A30" s="86">
        <v>41913</v>
      </c>
      <c r="B30" s="83" t="s">
        <v>71</v>
      </c>
      <c r="C30" s="84">
        <v>120</v>
      </c>
      <c r="D30" s="82">
        <f t="shared" si="0"/>
        <v>10</v>
      </c>
    </row>
    <row r="31" spans="1:11" x14ac:dyDescent="0.25">
      <c r="A31" s="86">
        <v>42370</v>
      </c>
      <c r="B31" s="83" t="s">
        <v>71</v>
      </c>
      <c r="C31" s="102">
        <v>-45</v>
      </c>
      <c r="D31" s="88">
        <f>C31/3</f>
        <v>-15</v>
      </c>
      <c r="E31" s="37">
        <f>SUM(D31:$D$31)</f>
        <v>-15</v>
      </c>
      <c r="F31" s="7">
        <f t="shared" ref="F31:F43" si="1">E31*-1000000</f>
        <v>15000000</v>
      </c>
      <c r="K31" s="156"/>
    </row>
    <row r="32" spans="1:11" x14ac:dyDescent="0.25">
      <c r="A32" s="86">
        <v>42522</v>
      </c>
      <c r="B32" s="83" t="s">
        <v>71</v>
      </c>
      <c r="C32" s="102">
        <v>-144</v>
      </c>
      <c r="D32" s="88">
        <v>-12</v>
      </c>
      <c r="E32" s="37">
        <f>SUM(D$31:$D32)</f>
        <v>-27</v>
      </c>
      <c r="F32" s="7">
        <f t="shared" si="1"/>
        <v>27000000</v>
      </c>
    </row>
    <row r="33" spans="1:6" x14ac:dyDescent="0.25">
      <c r="A33" s="86">
        <v>42948</v>
      </c>
      <c r="B33" s="83" t="s">
        <v>71</v>
      </c>
      <c r="C33" s="102">
        <v>-144</v>
      </c>
      <c r="D33" s="88">
        <v>-15</v>
      </c>
      <c r="E33" s="37">
        <f>SUM(D$31:$D33)</f>
        <v>-42</v>
      </c>
      <c r="F33" s="7">
        <f t="shared" si="1"/>
        <v>42000000</v>
      </c>
    </row>
    <row r="34" spans="1:6" x14ac:dyDescent="0.25">
      <c r="A34" s="86">
        <v>43313</v>
      </c>
      <c r="B34" s="83" t="s">
        <v>71</v>
      </c>
      <c r="C34" s="82">
        <f>12*D34</f>
        <v>180</v>
      </c>
      <c r="D34" s="88">
        <v>15</v>
      </c>
      <c r="E34" s="37">
        <f>SUM(D$31:$D34)</f>
        <v>-27</v>
      </c>
      <c r="F34" s="7">
        <f t="shared" si="1"/>
        <v>27000000</v>
      </c>
    </row>
    <row r="35" spans="1:6" x14ac:dyDescent="0.25">
      <c r="A35" s="86">
        <v>43405</v>
      </c>
      <c r="B35" s="83" t="s">
        <v>71</v>
      </c>
      <c r="C35" s="102">
        <f t="shared" ref="C35:C37" si="2">12*D35</f>
        <v>-120</v>
      </c>
      <c r="D35" s="88">
        <v>-10</v>
      </c>
      <c r="E35" s="37">
        <f>SUM(D$31:$D35)</f>
        <v>-37</v>
      </c>
      <c r="F35" s="7">
        <f t="shared" si="1"/>
        <v>37000000</v>
      </c>
    </row>
    <row r="36" spans="1:6" x14ac:dyDescent="0.25">
      <c r="A36" s="86">
        <v>43556</v>
      </c>
      <c r="B36" s="83" t="s">
        <v>71</v>
      </c>
      <c r="C36" s="82">
        <f t="shared" si="2"/>
        <v>120</v>
      </c>
      <c r="D36" s="88">
        <v>10</v>
      </c>
      <c r="E36" s="37">
        <f>SUM(D$31:$D36)</f>
        <v>-27</v>
      </c>
      <c r="F36" s="7">
        <f t="shared" si="1"/>
        <v>27000000</v>
      </c>
    </row>
    <row r="37" spans="1:6" x14ac:dyDescent="0.25">
      <c r="A37" s="86">
        <v>43678</v>
      </c>
      <c r="B37" s="83" t="s">
        <v>71</v>
      </c>
      <c r="C37" s="82">
        <f t="shared" si="2"/>
        <v>180</v>
      </c>
      <c r="D37" s="88">
        <v>15</v>
      </c>
      <c r="E37" s="37">
        <f>SUM(D$31:$D37)</f>
        <v>-12</v>
      </c>
      <c r="F37" s="7">
        <f t="shared" si="1"/>
        <v>12000000</v>
      </c>
    </row>
    <row r="38" spans="1:6" x14ac:dyDescent="0.25">
      <c r="A38" s="86">
        <v>43983</v>
      </c>
      <c r="B38" s="83" t="s">
        <v>71</v>
      </c>
      <c r="C38" s="82">
        <f>12*D38</f>
        <v>180</v>
      </c>
      <c r="D38" s="88">
        <v>15</v>
      </c>
      <c r="E38" s="37">
        <f>SUM(D$31:$D38)</f>
        <v>3</v>
      </c>
      <c r="F38" s="7">
        <f t="shared" si="1"/>
        <v>-3000000</v>
      </c>
    </row>
    <row r="39" spans="1:6" x14ac:dyDescent="0.25">
      <c r="A39" s="86">
        <v>44105</v>
      </c>
      <c r="B39" s="83" t="s">
        <v>71</v>
      </c>
      <c r="C39" s="102">
        <v>-93.2</v>
      </c>
      <c r="D39" s="88">
        <f>C39/12</f>
        <v>-7.7666666666666666</v>
      </c>
      <c r="E39" s="37">
        <f>SUM(D$31:$D39)</f>
        <v>-4.7666666666666666</v>
      </c>
      <c r="F39" s="7">
        <f t="shared" si="1"/>
        <v>4766666.666666667</v>
      </c>
    </row>
    <row r="40" spans="1:6" x14ac:dyDescent="0.25">
      <c r="A40" s="86">
        <v>44197</v>
      </c>
      <c r="B40" s="83" t="s">
        <v>71</v>
      </c>
      <c r="C40" s="82">
        <v>108.8</v>
      </c>
      <c r="D40" s="88">
        <f t="shared" ref="D40:D49" si="3">C40/12</f>
        <v>9.0666666666666664</v>
      </c>
      <c r="E40" s="37">
        <f>SUM(D$31:$D40)</f>
        <v>4.3</v>
      </c>
      <c r="F40" s="7">
        <f t="shared" si="1"/>
        <v>-4300000</v>
      </c>
    </row>
    <row r="41" spans="1:6" x14ac:dyDescent="0.25">
      <c r="A41" s="86">
        <v>44287</v>
      </c>
      <c r="B41" s="83" t="s">
        <v>71</v>
      </c>
      <c r="C41" s="82">
        <v>41.6</v>
      </c>
      <c r="D41" s="88">
        <f t="shared" si="3"/>
        <v>3.4666666666666668</v>
      </c>
      <c r="E41" s="37">
        <f>SUM(D$31:$D41)</f>
        <v>7.7666666666666666</v>
      </c>
      <c r="F41" s="7">
        <f t="shared" si="1"/>
        <v>-7766666.666666667</v>
      </c>
    </row>
    <row r="42" spans="1:6" x14ac:dyDescent="0.25">
      <c r="A42" s="86">
        <v>44378</v>
      </c>
      <c r="B42" s="83" t="s">
        <v>71</v>
      </c>
      <c r="C42" s="102">
        <v>-195.6</v>
      </c>
      <c r="D42" s="88">
        <f t="shared" si="3"/>
        <v>-16.3</v>
      </c>
      <c r="E42" s="37">
        <f>SUM(D$31:$D42)</f>
        <v>-8.533333333333335</v>
      </c>
      <c r="F42" s="7">
        <f t="shared" si="1"/>
        <v>8533333.3333333358</v>
      </c>
    </row>
    <row r="43" spans="1:6" x14ac:dyDescent="0.25">
      <c r="A43" s="86">
        <v>44470</v>
      </c>
      <c r="B43" s="83" t="s">
        <v>71</v>
      </c>
      <c r="C43" s="102">
        <v>-107.2</v>
      </c>
      <c r="D43" s="88">
        <f t="shared" si="3"/>
        <v>-8.9333333333333336</v>
      </c>
      <c r="E43" s="37">
        <f>SUM(D$31:$D43)</f>
        <v>-17.466666666666669</v>
      </c>
      <c r="F43" s="7">
        <f t="shared" si="1"/>
        <v>17466666.666666668</v>
      </c>
    </row>
    <row r="44" spans="1:6" x14ac:dyDescent="0.25">
      <c r="A44" s="86">
        <v>44562</v>
      </c>
      <c r="B44" s="83" t="s">
        <v>71</v>
      </c>
      <c r="C44" s="102">
        <v>-197.2</v>
      </c>
      <c r="D44" s="88">
        <f t="shared" si="3"/>
        <v>-16.433333333333334</v>
      </c>
      <c r="E44" s="37">
        <f>SUM(D$31:$D44)</f>
        <v>-33.900000000000006</v>
      </c>
      <c r="F44" s="7">
        <f>E44*-1000000</f>
        <v>33900000.000000007</v>
      </c>
    </row>
    <row r="45" spans="1:6" x14ac:dyDescent="0.25">
      <c r="A45" s="86">
        <v>44835</v>
      </c>
      <c r="B45" s="83" t="s">
        <v>71</v>
      </c>
      <c r="C45" s="82">
        <v>26.8</v>
      </c>
      <c r="D45" s="88">
        <f t="shared" si="3"/>
        <v>2.2333333333333334</v>
      </c>
      <c r="E45" s="37">
        <f>SUM(D$31:$D45)</f>
        <v>-31.666666666666671</v>
      </c>
      <c r="F45" s="7">
        <f t="shared" ref="F45:F53" si="4">E45*-1000000</f>
        <v>31666666.666666672</v>
      </c>
    </row>
    <row r="46" spans="1:6" x14ac:dyDescent="0.25">
      <c r="A46" s="86">
        <v>44896</v>
      </c>
      <c r="B46" s="83" t="s">
        <v>71</v>
      </c>
      <c r="C46" s="82">
        <v>16.8</v>
      </c>
      <c r="D46" s="88">
        <f t="shared" si="3"/>
        <v>1.4000000000000001</v>
      </c>
      <c r="E46" s="37">
        <f>SUM(D$31:$D46)</f>
        <v>-30.266666666666673</v>
      </c>
      <c r="F46" s="7">
        <f t="shared" si="4"/>
        <v>30266666.666666672</v>
      </c>
    </row>
    <row r="47" spans="1:6" x14ac:dyDescent="0.25">
      <c r="A47" s="86">
        <v>44927</v>
      </c>
      <c r="B47" s="83" t="s">
        <v>71</v>
      </c>
      <c r="C47" s="102">
        <v>-8.4</v>
      </c>
      <c r="D47" s="88">
        <f t="shared" si="3"/>
        <v>-0.70000000000000007</v>
      </c>
      <c r="E47" s="37">
        <f>SUM(D$31:$D47)</f>
        <v>-30.966666666666672</v>
      </c>
      <c r="F47" s="7">
        <f t="shared" si="4"/>
        <v>30966666.666666672</v>
      </c>
    </row>
    <row r="48" spans="1:6" x14ac:dyDescent="0.25">
      <c r="A48" s="86">
        <v>45017</v>
      </c>
      <c r="B48" s="83" t="s">
        <v>71</v>
      </c>
      <c r="C48" s="82">
        <v>6</v>
      </c>
      <c r="D48" s="88">
        <f t="shared" si="3"/>
        <v>0.5</v>
      </c>
      <c r="E48" s="37">
        <f>SUM(D$31:$D48)</f>
        <v>-30.466666666666672</v>
      </c>
      <c r="F48" s="7">
        <f t="shared" si="4"/>
        <v>30466666.666666672</v>
      </c>
    </row>
    <row r="49" spans="1:13" x14ac:dyDescent="0.25">
      <c r="A49" s="86">
        <v>45108</v>
      </c>
      <c r="B49" s="83" t="s">
        <v>71</v>
      </c>
      <c r="C49" s="102">
        <v>-95.2</v>
      </c>
      <c r="D49" s="88">
        <f t="shared" si="3"/>
        <v>-7.9333333333333336</v>
      </c>
      <c r="E49" s="37">
        <f>SUM(D$31:$D49)</f>
        <v>-38.400000000000006</v>
      </c>
      <c r="F49" s="7">
        <f t="shared" si="4"/>
        <v>38400000.000000007</v>
      </c>
    </row>
    <row r="50" spans="1:13" x14ac:dyDescent="0.25">
      <c r="A50" s="86">
        <v>45200</v>
      </c>
      <c r="B50" s="83" t="s">
        <v>71</v>
      </c>
      <c r="C50" s="106">
        <v>-84</v>
      </c>
      <c r="D50" s="107">
        <v>-7</v>
      </c>
      <c r="E50" s="37">
        <f>SUM(D$31:$D50)</f>
        <v>-45.400000000000006</v>
      </c>
      <c r="F50" s="7">
        <f t="shared" si="4"/>
        <v>45400000.000000007</v>
      </c>
    </row>
    <row r="51" spans="1:13" ht="14.15" customHeight="1" x14ac:dyDescent="0.25">
      <c r="A51" s="86">
        <v>45292</v>
      </c>
      <c r="B51" s="83" t="s">
        <v>71</v>
      </c>
      <c r="C51" s="106">
        <v>-34.799999999999997</v>
      </c>
      <c r="D51" s="107">
        <v>-2.9</v>
      </c>
      <c r="E51" s="37">
        <f>SUM(D$31:$D51)</f>
        <v>-48.300000000000004</v>
      </c>
      <c r="F51" s="7">
        <f t="shared" si="4"/>
        <v>48300000.000000007</v>
      </c>
      <c r="H51" s="110"/>
      <c r="I51" s="110"/>
      <c r="J51" s="110"/>
    </row>
    <row r="52" spans="1:13" ht="12.65" customHeight="1" x14ac:dyDescent="0.25">
      <c r="A52" s="86">
        <v>45383</v>
      </c>
      <c r="B52" s="83" t="s">
        <v>71</v>
      </c>
      <c r="C52" s="108">
        <v>0</v>
      </c>
      <c r="D52" s="109">
        <v>0</v>
      </c>
      <c r="E52" s="37">
        <f>SUM(D$31:$D52)</f>
        <v>-48.300000000000004</v>
      </c>
      <c r="F52" s="7">
        <f t="shared" si="4"/>
        <v>48300000.000000007</v>
      </c>
      <c r="H52" s="158" t="s">
        <v>147</v>
      </c>
      <c r="I52" s="158"/>
      <c r="J52" s="158"/>
      <c r="K52" s="110"/>
      <c r="L52" s="110"/>
      <c r="M52" s="110"/>
    </row>
    <row r="53" spans="1:13" x14ac:dyDescent="0.25">
      <c r="A53" s="86">
        <v>45474</v>
      </c>
      <c r="B53" s="83" t="s">
        <v>71</v>
      </c>
      <c r="C53" s="109">
        <v>0</v>
      </c>
      <c r="D53" s="109">
        <v>0</v>
      </c>
      <c r="E53" s="37">
        <f>SUM(D$31:$D53)</f>
        <v>-48.300000000000004</v>
      </c>
      <c r="F53" s="7">
        <f t="shared" si="4"/>
        <v>48300000.000000007</v>
      </c>
      <c r="H53" s="158"/>
      <c r="I53" s="158"/>
      <c r="J53" s="158"/>
      <c r="K53" s="110"/>
      <c r="L53" s="110"/>
      <c r="M53" s="110"/>
    </row>
    <row r="54" spans="1:13" x14ac:dyDescent="0.25">
      <c r="A54" s="86">
        <v>45566</v>
      </c>
      <c r="B54" s="83" t="s">
        <v>71</v>
      </c>
      <c r="C54" s="108">
        <v>-36</v>
      </c>
      <c r="D54" s="108">
        <v>-3</v>
      </c>
      <c r="E54" s="37">
        <f>SUM(D$31:$D54)</f>
        <v>-51.300000000000004</v>
      </c>
      <c r="F54" s="7">
        <f t="shared" ref="F54" si="5">E54*-1000000</f>
        <v>51300000.000000007</v>
      </c>
      <c r="H54" s="158"/>
      <c r="I54" s="158"/>
      <c r="J54" s="158"/>
      <c r="K54" s="110"/>
      <c r="L54" s="110"/>
      <c r="M54" s="110"/>
    </row>
    <row r="55" spans="1:13" x14ac:dyDescent="0.25">
      <c r="A55" s="86">
        <v>45658</v>
      </c>
      <c r="B55" s="83" t="s">
        <v>71</v>
      </c>
      <c r="C55" s="108">
        <v>-71.599999999999994</v>
      </c>
      <c r="D55" s="108">
        <v>-5.96</v>
      </c>
      <c r="E55" s="37">
        <f>SUM(D$31:$D55)</f>
        <v>-57.260000000000005</v>
      </c>
      <c r="F55" s="7">
        <f t="shared" ref="F55:F56" si="6">E55*-1000000</f>
        <v>57260000.000000007</v>
      </c>
      <c r="H55" s="158"/>
      <c r="I55" s="158"/>
      <c r="J55" s="158"/>
      <c r="K55" s="110"/>
      <c r="L55" s="110"/>
      <c r="M55" s="110"/>
    </row>
    <row r="56" spans="1:13" x14ac:dyDescent="0.25">
      <c r="A56" s="154">
        <v>45748</v>
      </c>
      <c r="B56" s="83" t="s">
        <v>71</v>
      </c>
      <c r="C56" s="155">
        <v>49.2</v>
      </c>
      <c r="D56" s="155">
        <v>4.0999999999999996</v>
      </c>
      <c r="E56" s="37">
        <f>SUM(D$31:$D56)</f>
        <v>-53.160000000000004</v>
      </c>
      <c r="F56" s="7">
        <f t="shared" si="6"/>
        <v>53160000</v>
      </c>
      <c r="H56" s="152"/>
      <c r="I56" s="152"/>
      <c r="J56" s="152"/>
      <c r="K56" s="110"/>
      <c r="L56" s="110"/>
      <c r="M56" s="110"/>
    </row>
    <row r="57" spans="1:13" x14ac:dyDescent="0.25">
      <c r="A57" s="154">
        <v>45839</v>
      </c>
      <c r="B57" s="83" t="s">
        <v>71</v>
      </c>
      <c r="C57" s="155"/>
      <c r="D57" s="155"/>
      <c r="E57" s="37"/>
      <c r="F57" s="7"/>
      <c r="H57" s="152"/>
      <c r="I57" s="152"/>
      <c r="J57" s="152"/>
      <c r="K57" s="110"/>
      <c r="L57" s="110"/>
      <c r="M57" s="110"/>
    </row>
    <row r="58" spans="1:13" x14ac:dyDescent="0.25">
      <c r="A58" s="111"/>
      <c r="B58" s="112"/>
      <c r="C58" s="113"/>
      <c r="D58" s="113"/>
      <c r="E58" s="37"/>
      <c r="F58" s="7"/>
      <c r="H58" s="114"/>
      <c r="I58" s="114"/>
      <c r="J58" s="114"/>
      <c r="K58" s="110"/>
      <c r="L58" s="110"/>
      <c r="M58" s="110"/>
    </row>
    <row r="59" spans="1:13" x14ac:dyDescent="0.25">
      <c r="A59" s="44"/>
      <c r="B59" s="45"/>
      <c r="C59" s="46"/>
      <c r="D59" s="37"/>
      <c r="H59" s="114"/>
      <c r="I59" s="114"/>
      <c r="J59" s="114"/>
      <c r="K59" s="110"/>
      <c r="L59" s="110"/>
      <c r="M59" s="110"/>
    </row>
    <row r="60" spans="1:13" x14ac:dyDescent="0.25">
      <c r="A60" s="36" t="s">
        <v>73</v>
      </c>
      <c r="H60" s="114"/>
      <c r="I60" s="114"/>
      <c r="J60" s="114"/>
      <c r="K60" s="110"/>
      <c r="L60" s="110"/>
      <c r="M60" s="110"/>
    </row>
    <row r="61" spans="1:13" ht="13" x14ac:dyDescent="0.3">
      <c r="A61" s="18"/>
      <c r="H61" s="114"/>
      <c r="I61" s="114"/>
      <c r="J61" s="114"/>
      <c r="K61" s="110"/>
      <c r="L61" s="110"/>
      <c r="M61" s="110"/>
    </row>
    <row r="62" spans="1:13" x14ac:dyDescent="0.25">
      <c r="A62" s="17" t="s">
        <v>124</v>
      </c>
      <c r="H62" s="114"/>
      <c r="I62" s="114"/>
      <c r="J62" s="114"/>
      <c r="K62" s="110"/>
      <c r="L62" s="110"/>
      <c r="M62" s="110"/>
    </row>
    <row r="63" spans="1:13" x14ac:dyDescent="0.25">
      <c r="H63" s="114"/>
      <c r="I63" s="114"/>
      <c r="J63" s="114"/>
    </row>
    <row r="64" spans="1:13" x14ac:dyDescent="0.25">
      <c r="A64" s="17" t="s">
        <v>74</v>
      </c>
    </row>
    <row r="66" spans="1:6" x14ac:dyDescent="0.25">
      <c r="A66" s="159" t="s">
        <v>129</v>
      </c>
      <c r="B66" s="159"/>
      <c r="C66" s="159"/>
      <c r="D66" s="159"/>
      <c r="E66" s="159"/>
      <c r="F66" s="159"/>
    </row>
    <row r="67" spans="1:6" x14ac:dyDescent="0.25">
      <c r="A67" s="159"/>
      <c r="B67" s="159"/>
      <c r="C67" s="159"/>
      <c r="D67" s="159"/>
      <c r="E67" s="159"/>
      <c r="F67" s="159"/>
    </row>
  </sheetData>
  <mergeCells count="2">
    <mergeCell ref="H52:J55"/>
    <mergeCell ref="A66:F67"/>
  </mergeCells>
  <hyperlinks>
    <hyperlink ref="A60" r:id="rId1" xr:uid="{F4310A2F-D3C9-40A0-829D-87FEAF2E1C44}"/>
  </hyperlinks>
  <pageMargins left="0.26" right="0.45" top="1" bottom="1" header="0.5" footer="0.5"/>
  <pageSetup paperSize="9" scale="83" orientation="landscape" r:id="rId2"/>
  <headerFooter alignWithMargins="0"/>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HSC Document" ma:contentTypeID="0x0101008BB593AF3AB087458D5E971267D24B750004FA27B446D9624AB737BAEB6C1DA5FF" ma:contentTypeVersion="31" ma:contentTypeDescription="" ma:contentTypeScope="" ma:versionID="dd9d43211353cd2869d2a8d4080afe6e">
  <xsd:schema xmlns:xsd="http://www.w3.org/2001/XMLSchema" xmlns:xs="http://www.w3.org/2001/XMLSchema" xmlns:p="http://schemas.microsoft.com/office/2006/metadata/properties" xmlns:ns2="06a9daec-955a-4b98-be99-9010db82da52" xmlns:ns3="7aa07ef2-f4ec-4a8c-98d7-e2e24130d9f5" xmlns:ns4="235d9dbf-3450-479c-bfe9-f4d13a60d8bf" targetNamespace="http://schemas.microsoft.com/office/2006/metadata/properties" ma:root="true" ma:fieldsID="ebeec71256ea9607566d5d4090a524dd" ns2:_="" ns3:_="" ns4:_="">
    <xsd:import namespace="06a9daec-955a-4b98-be99-9010db82da52"/>
    <xsd:import namespace="7aa07ef2-f4ec-4a8c-98d7-e2e24130d9f5"/>
    <xsd:import namespace="235d9dbf-3450-479c-bfe9-f4d13a60d8bf"/>
    <xsd:element name="properties">
      <xsd:complexType>
        <xsd:sequence>
          <xsd:element name="documentManagement">
            <xsd:complexType>
              <xsd:all>
                <xsd:element ref="ns2:DH_Core_PreMigA" minOccurs="0"/>
                <xsd:element ref="ns2:DH_Core_PreMigE" minOccurs="0"/>
                <xsd:element ref="ns2:DH_Core_PreMigP" minOccurs="0"/>
                <xsd:element ref="ns3:TaxCatchAll" minOccurs="0"/>
                <xsd:element ref="ns3:TaxCatchAllLabel" minOccurs="0"/>
                <xsd:element ref="ns4:MediaServiceMetadata" minOccurs="0"/>
                <xsd:element ref="ns4:MediaServiceFastMetadata" minOccurs="0"/>
                <xsd:element ref="ns4:MediaServiceAutoKeyPoints" minOccurs="0"/>
                <xsd:element ref="ns4:MediaServiceKeyPoints"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a9daec-955a-4b98-be99-9010db82da52" elementFormDefault="qualified">
    <xsd:import namespace="http://schemas.microsoft.com/office/2006/documentManagement/types"/>
    <xsd:import namespace="http://schemas.microsoft.com/office/infopath/2007/PartnerControls"/>
    <xsd:element name="DH_Core_PreMigA" ma:index="2" nillable="true" ma:displayName="Pre-Migration Author" ma:internalName="DH_Core_PreMigA">
      <xsd:simpleType>
        <xsd:restriction base="dms:Text">
          <xsd:maxLength value="255"/>
        </xsd:restriction>
      </xsd:simpleType>
    </xsd:element>
    <xsd:element name="DH_Core_PreMigE" ma:index="3" nillable="true" ma:displayName="Pre-Migration Editor" ma:internalName="DH_Core_PreMigE">
      <xsd:simpleType>
        <xsd:restriction base="dms:Text">
          <xsd:maxLength value="255"/>
        </xsd:restriction>
      </xsd:simpleType>
    </xsd:element>
    <xsd:element name="DH_Core_PreMigP" ma:index="4" nillable="true" ma:displayName="Pre-Migration Path" ma:internalName="DH_Core_PreMigP">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a07ef2-f4ec-4a8c-98d7-e2e24130d9f5"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11e0e9ce-14b7-4769-8d6e-4e2de1e295cb}" ma:internalName="TaxCatchAll" ma:showField="CatchAllData" ma:web="7aa07ef2-f4ec-4a8c-98d7-e2e24130d9f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11e0e9ce-14b7-4769-8d6e-4e2de1e295cb}" ma:internalName="TaxCatchAllLabel" ma:readOnly="true" ma:showField="CatchAllDataLabel" ma:web="7aa07ef2-f4ec-4a8c-98d7-e2e24130d9f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35d9dbf-3450-479c-bfe9-f4d13a60d8bf"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7"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H_Core_PreMigP xmlns="06a9daec-955a-4b98-be99-9010db82da52">http://iws.ims.gov.uk/sr/gandf/Finance/Planning%20Monitoring%20and%20Analysis%2FDrugs%2FIn-year%20forecasting%2F202021profile%20-%20excl%20DCMC%20Jan2021.xlsm</DH_Core_PreMigP>
    <TaxCatchAll xmlns="7aa07ef2-f4ec-4a8c-98d7-e2e24130d9f5" xsi:nil="true"/>
    <DH_Core_PreMigA xmlns="06a9daec-955a-4b98-be99-9010db82da52">Brown, Frank</DH_Core_PreMigA>
    <DH_Core_PreMigE xmlns="06a9daec-955a-4b98-be99-9010db82da52">Brown, Frank</DH_Core_PreMigE>
    <lcf76f155ced4ddcb4097134ff3c332f xmlns="235d9dbf-3450-479c-bfe9-f4d13a60d8bf" xsi:nil="true"/>
  </documentManagement>
</p:properties>
</file>

<file path=customXml/itemProps1.xml><?xml version="1.0" encoding="utf-8"?>
<ds:datastoreItem xmlns:ds="http://schemas.openxmlformats.org/officeDocument/2006/customXml" ds:itemID="{0A6F5EA8-9EE6-42F3-8528-0D437E1F43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a9daec-955a-4b98-be99-9010db82da52"/>
    <ds:schemaRef ds:uri="7aa07ef2-f4ec-4a8c-98d7-e2e24130d9f5"/>
    <ds:schemaRef ds:uri="235d9dbf-3450-479c-bfe9-f4d13a60d8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5EC531-9635-45F0-AA5F-5A8DF13EFB31}">
  <ds:schemaRefs>
    <ds:schemaRef ds:uri="http://schemas.microsoft.com/sharepoint/v3/contenttype/forms"/>
  </ds:schemaRefs>
</ds:datastoreItem>
</file>

<file path=customXml/itemProps3.xml><?xml version="1.0" encoding="utf-8"?>
<ds:datastoreItem xmlns:ds="http://schemas.openxmlformats.org/officeDocument/2006/customXml" ds:itemID="{41B3B979-955F-40D3-AFCA-523A697137D6}">
  <ds:schemaRefs>
    <ds:schemaRef ds:uri="http://schemas.microsoft.com/office/2006/metadata/properties"/>
    <ds:schemaRef ds:uri="http://schemas.microsoft.com/office/infopath/2007/PartnerControls"/>
    <ds:schemaRef ds:uri="06a9daec-955a-4b98-be99-9010db82da52"/>
    <ds:schemaRef ds:uri="7aa07ef2-f4ec-4a8c-98d7-e2e24130d9f5"/>
    <ds:schemaRef ds:uri="http://schemas.microsoft.com/sharepoint/v4"/>
    <ds:schemaRef ds:uri="235d9dbf-3450-479c-bfe9-f4d13a60d8b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vt:i4>
      </vt:variant>
    </vt:vector>
  </HeadingPairs>
  <TitlesOfParts>
    <vt:vector size="18" baseType="lpstr">
      <vt:lpstr>Notes</vt:lpstr>
      <vt:lpstr>UserQA</vt:lpstr>
      <vt:lpstr>ChangeLog</vt:lpstr>
      <vt:lpstr>OUTPUTS --&gt;</vt:lpstr>
      <vt:lpstr>Output Profile</vt:lpstr>
      <vt:lpstr>Forecasting</vt:lpstr>
      <vt:lpstr>CALCULATIONS --&gt;</vt:lpstr>
      <vt:lpstr>Uplift Average to Latest Year</vt:lpstr>
      <vt:lpstr>Policy - updated</vt:lpstr>
      <vt:lpstr>CalculateAverages</vt:lpstr>
      <vt:lpstr>INPUTS -- &gt;</vt:lpstr>
      <vt:lpstr>Data</vt:lpstr>
      <vt:lpstr>Dispensing Days</vt:lpstr>
      <vt:lpstr>Test</vt:lpstr>
      <vt:lpstr>Policy - not updated</vt:lpstr>
      <vt:lpstr>DDMonth</vt:lpstr>
      <vt:lpstr>DDYear</vt:lpstr>
      <vt:lpstr>DispensingDays</vt:lpstr>
    </vt:vector>
  </TitlesOfParts>
  <Manager/>
  <Company>Department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 User</dc:creator>
  <cp:keywords/>
  <dc:description/>
  <cp:lastModifiedBy>Wilson, Eleanor</cp:lastModifiedBy>
  <cp:revision/>
  <dcterms:created xsi:type="dcterms:W3CDTF">2003-08-01T14:12:13Z</dcterms:created>
  <dcterms:modified xsi:type="dcterms:W3CDTF">2025-06-16T08:04:31Z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0x0101008BB593AF3AB087458D5E971267D24B750004FA27B446D9624AB737BAEB6C1DA5FF</vt:lpwstr>
  </property>
  <property fmtid="{D5CDD505-2E9C-101B-9397-08002B2CF9AE}" pid="3" name="_dlc_policyId">
    <vt:lpwstr>/sr/gandf/Finance</vt:lpwstr>
  </property>
  <property fmtid="{D5CDD505-2E9C-101B-9397-08002B2CF9AE}" pid="4" name="ItemRetentionFormula">
    <vt:lpwstr>&lt;formula id="Microsoft.Office.RecordsManagement.PolicyFeatures.Expiration.Formula.BuiltIn"&gt;&lt;number&gt;3&lt;/number&gt;&lt;property&gt;Modified&lt;/property&gt;&lt;propertyId&gt;28cf69c5-fa48-462a-b5cd-27b6f9d2bd5f&lt;/propertyId&gt;&lt;period&gt;years&lt;/period&gt;&lt;/formula&gt;</vt:lpwstr>
  </property>
  <property fmtid="{D5CDD505-2E9C-101B-9397-08002B2CF9AE}" pid="5" name="_dlc_DocIdItemGuid">
    <vt:lpwstr>5183aab6-046b-439c-bf98-7edede065a17</vt:lpwstr>
  </property>
  <property fmtid="{D5CDD505-2E9C-101B-9397-08002B2CF9AE}" pid="6" name="Record Class">
    <vt:lpwstr>43;#Finance and Accounting|a572c143-3191-4262-9e01-e5e61eb3b989</vt:lpwstr>
  </property>
  <property fmtid="{D5CDD505-2E9C-101B-9397-08002B2CF9AE}" pid="7" name="TaxKeyword">
    <vt:lpwstr/>
  </property>
  <property fmtid="{D5CDD505-2E9C-101B-9397-08002B2CF9AE}" pid="8" name="_cx_SecurityMarkings">
    <vt:lpwstr>2104;#OFFICIAL-SENSITIVE|222b3a83-5441-4f0e-949c-aa40d477585a</vt:lpwstr>
  </property>
  <property fmtid="{D5CDD505-2E9C-101B-9397-08002B2CF9AE}" pid="9" name="Document Type">
    <vt:lpwstr>89;#Please select...|d4c3a339-8617-448c-96a4-aa4fe7bbd822</vt:lpwstr>
  </property>
  <property fmtid="{D5CDD505-2E9C-101B-9397-08002B2CF9AE}" pid="10" name="Document_x0020_Subject">
    <vt:lpwstr/>
  </property>
  <property fmtid="{D5CDD505-2E9C-101B-9397-08002B2CF9AE}" pid="11" name="Trigger_x0020_Date_x0020_Description">
    <vt:lpwstr/>
  </property>
  <property fmtid="{D5CDD505-2E9C-101B-9397-08002B2CF9AE}" pid="12" name="Trigger Date Description">
    <vt:lpwstr/>
  </property>
  <property fmtid="{D5CDD505-2E9C-101B-9397-08002B2CF9AE}" pid="13" name="Document Subject">
    <vt:lpwstr/>
  </property>
  <property fmtid="{D5CDD505-2E9C-101B-9397-08002B2CF9AE}" pid="14" name="DH_Core_EmailSubjectExt">
    <vt:lpwstr/>
  </property>
  <property fmtid="{D5CDD505-2E9C-101B-9397-08002B2CF9AE}" pid="15" name="DH_Core_EmailSubject">
    <vt:lpwstr/>
  </property>
  <property fmtid="{D5CDD505-2E9C-101B-9397-08002B2CF9AE}" pid="16" name="DH_Core_EmailFrom">
    <vt:lpwstr/>
  </property>
  <property fmtid="{D5CDD505-2E9C-101B-9397-08002B2CF9AE}" pid="17" name="DH_Core_EmailCC">
    <vt:lpwstr/>
  </property>
  <property fmtid="{D5CDD505-2E9C-101B-9397-08002B2CF9AE}" pid="18" name="DH_Core_EmailToExt">
    <vt:lpwstr/>
  </property>
  <property fmtid="{D5CDD505-2E9C-101B-9397-08002B2CF9AE}" pid="19" name="DH_Core_EmailTo">
    <vt:lpwstr/>
  </property>
  <property fmtid="{D5CDD505-2E9C-101B-9397-08002B2CF9AE}" pid="20" name="DH_Core_EmailBCC">
    <vt:lpwstr/>
  </property>
  <property fmtid="{D5CDD505-2E9C-101B-9397-08002B2CF9AE}" pid="21" name="DH_Core_PreMigA">
    <vt:lpwstr>Brown, Frank</vt:lpwstr>
  </property>
  <property fmtid="{D5CDD505-2E9C-101B-9397-08002B2CF9AE}" pid="22" name="DH_Core_EmailFromExt">
    <vt:lpwstr/>
  </property>
  <property fmtid="{D5CDD505-2E9C-101B-9397-08002B2CF9AE}" pid="23" name="DH_Core_PreMigE">
    <vt:lpwstr>Brown, Frank</vt:lpwstr>
  </property>
  <property fmtid="{D5CDD505-2E9C-101B-9397-08002B2CF9AE}" pid="24" name="MediaServiceImageTags">
    <vt:lpwstr/>
  </property>
</Properties>
</file>